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6810" windowHeight="78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<sst xmlns="http://schemas.openxmlformats.org/spreadsheetml/2006/main" count="121" uniqueCount="29">
  <si>
    <t>UNIDADE DE NEGÓCIO: UN-RIO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</si>
  <si>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</si>
  <si>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</si>
  <si>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</si>
  <si>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</si>
  <si>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</si>
  <si>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</si>
  <si>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</si>
  <si>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</si>
  <si>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</si>
  <si>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</si>
  <si>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</si>
  <si>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</si>
  <si>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Dia</t>
  </si>
  <si>
    <t>MEDIA MENSAL</t>
  </si>
  <si>
    <t>DF - Descarte fechado</t>
  </si>
  <si>
    <t>AE - Amostra extraviada</t>
  </si>
  <si>
    <t>AQ - Amostra quebrada no transporte</t>
  </si>
  <si>
    <t>FF - Falta de frasco na unidade</t>
  </si>
  <si>
    <t>PP - Parada de produção</t>
  </si>
  <si>
    <t>PO - Problemas operacionais para amostragem</t>
  </si>
  <si>
    <t>O - Outros</t>
  </si>
  <si>
    <t>Teor de óleos e graxas - TOG (mg/L) no ano 2010- METODOLOGIA EMPREGADA PARA DETERMINAÇÃO DE TOG: Gravimetria</t>
  </si>
  <si>
    <t>Plataforma: P-50</t>
  </si>
  <si>
    <t>DF</t>
  </si>
  <si>
    <t>X</t>
  </si>
  <si>
    <t>FF</t>
  </si>
  <si>
    <t>x</t>
  </si>
  <si>
    <t xml:space="preserve">Responsável pela Operação: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</si>
</sst>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00"/>
    <numFmt numFmtId="168" formatCode="0.0000000"/>
    <numFmt numFmtId="169" formatCode="0.0000"/>
    <numFmt numFmtId="170" formatCode="_(* #,##0.0_);_(* \(#,##0.0\);_(* &quot;-&quot;??_);_(@_)"/>
    <numFmt numFmtId="171" formatCode="0.00000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" fontId="0" fillId="0" borderId="1" xfId="0" applyNumberFormat="1" applyFont="1" applyFill="1" applyBorder="1" applyAlignment="1" applyProtection="1">
      <alignment horizontal="center" vertical="center" wrapText="1"/>
      <protection/>
    </xf>
    <xf numFmtId="1" fontId="0" fillId="2" borderId="0" xfId="0" applyNumberFormat="1" applyFont="1" applyFill="1" applyBorder="1" applyAlignment="1" applyProtection="1">
      <alignment horizontal="left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1" fontId="1" fillId="2" borderId="1" xfId="0" applyNumberFormat="1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1" fontId="1" fillId="2" borderId="2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1" fontId="0" fillId="2" borderId="0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1" fontId="0" fillId="3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1" fontId="0" fillId="2" borderId="1" xfId="0" applyNumberFormat="1" applyFont="1" applyFill="1" applyBorder="1" applyAlignment="1" applyProtection="1">
      <alignment horizontal="center" vertical="center"/>
      <protection/>
    </xf>
    <xf numFmtId="164" fontId="0" fillId="0" borderId="1" xfId="0" applyNumberFormat="1" applyFont="1" applyBorder="1" applyAlignment="1" applyProtection="1">
      <alignment horizontal="center"/>
      <protection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/>
      <protection/>
    </xf>
    <xf numFmtId="2" fontId="0" fillId="2" borderId="1" xfId="0" applyNumberFormat="1" applyFont="1" applyFill="1" applyBorder="1" applyAlignment="1" applyProtection="1">
      <alignment/>
      <protection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2" fontId="0" fillId="2" borderId="0" xfId="0" applyNumberFormat="1" applyFont="1" applyFill="1" applyAlignment="1" applyProtection="1">
      <alignment/>
      <protection/>
    </xf>
    <xf numFmtId="2" fontId="0" fillId="2" borderId="0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center"/>
      <protection/>
    </xf>
    <xf numFmtId="1" fontId="0" fillId="2" borderId="0" xfId="0" applyNumberFormat="1" applyFont="1" applyFill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3" fillId="0" borderId="4" xfId="0" applyFont="1" applyBorder="1" applyAlignment="1" applyProtection="1">
      <alignment vertical="top"/>
      <protection/>
    </xf>
    <xf numFmtId="0" fontId="3" fillId="0" borderId="5" xfId="0" applyFont="1" applyBorder="1" applyAlignment="1" applyProtection="1">
      <alignment vertical="top"/>
      <protection/>
    </xf>
    <xf numFmtId="0" fontId="3" fillId="0" borderId="6" xfId="0" applyFont="1" applyBorder="1" applyAlignment="1" applyProtection="1">
      <alignment vertical="top"/>
      <protection/>
    </xf>
    <xf numFmtId="0" fontId="3" fillId="0" borderId="7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8" xfId="0" applyFont="1" applyBorder="1" applyAlignment="1" applyProtection="1">
      <alignment vertical="top"/>
      <protection/>
    </xf>
    <xf numFmtId="0" fontId="3" fillId="0" borderId="9" xfId="0" applyFont="1" applyBorder="1" applyAlignment="1" applyProtection="1">
      <alignment vertical="top"/>
      <protection/>
    </xf>
    <xf numFmtId="0" fontId="3" fillId="0" borderId="10" xfId="0" applyFont="1" applyBorder="1" applyAlignment="1" applyProtection="1">
      <alignment vertical="top"/>
      <protection/>
    </xf>
    <xf numFmtId="0" fontId="3" fillId="0" borderId="11" xfId="0" applyFont="1" applyBorder="1" applyAlignment="1" applyProtection="1">
      <alignment vertical="top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6">
    <dxf>
      <fill>
        <patternFill patternType="gray125">
          <fgColor rgb="FFFF0000"/>
        </patternFill>
      </fill>
      <border/>
    </dxf>
    <dxf>
      <font>
        <b val="0"/>
        <i val="0"/>
        <color rgb="FF0000FF"/>
      </font>
      <border/>
    </dxf>
    <dxf>
      <font>
        <color rgb="FF008000"/>
      </font>
      <border/>
    </dxf>
    <dxf>
      <font>
        <b val="0"/>
        <i val="0"/>
        <color rgb="FF000000"/>
      </font>
      <fill>
        <patternFill>
          <bgColor rgb="FFFFFF00"/>
        </patternFill>
      </fill>
      <border/>
    </dxf>
    <dxf>
      <font>
        <b val="0"/>
        <i val="0"/>
        <color rgb="FF000000"/>
      </font>
      <fill>
        <patternFill>
          <bgColor rgb="FFFFFFFF"/>
        </patternFill>
      </fill>
      <border/>
    </dxf>
    <dxf>
      <font>
        <color rgb="FF00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4"/>
  <sheetViews>
    <sheetView tabSelected="1" zoomScale="75" zoomScaleNormal="75" workbookViewId="0" topLeftCell="A1">
      <selection activeCell="D23" sqref="D23"/>
    </sheetView>
  </sheetViews>
  <sheetFormatPr defaultColWidth="9.140625" defaultRowHeight="12.75"/>
  <cols>
    <col min="1" max="1" width="15.57421875" style="6" customWidth="1"/>
    <col min="2" max="2" width="9.8515625" style="6" customWidth="1"/>
    <col min="3" max="3" width="10.8515625" style="6" customWidth="1"/>
    <col min="4" max="4" width="11.421875" style="6" customWidth="1"/>
    <col min="5" max="13" width="10.7109375" style="6" customWidth="1"/>
    <col min="14" max="16384" width="9.140625" style="6" customWidth="1"/>
  </cols>
  <sheetData>
    <row r="1" ht="12.75"/>
    <row r="2" ht="12.75"/>
    <row r="5" spans="1:13" ht="12.75">
      <c r="A5" s="2" t="s">
        <v>0</v>
      </c>
      <c r="B5" s="3"/>
      <c r="C5" s="3"/>
      <c r="D5" s="2" t="s">
        <v>23</v>
      </c>
      <c r="E5" s="4"/>
      <c r="F5" s="4"/>
      <c r="G5" s="5"/>
      <c r="H5" s="5"/>
      <c r="I5" s="5"/>
      <c r="J5" s="5"/>
      <c r="K5" s="5"/>
      <c r="L5" s="5"/>
      <c r="M5" s="5"/>
    </row>
    <row r="6" spans="1:13" ht="13.5" thickBot="1">
      <c r="A6" s="7" t="s">
        <v>22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</row>
    <row r="7" spans="1:14" ht="14.25" thickBot="1" thickTop="1">
      <c r="A7" s="8"/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9" t="s">
        <v>11</v>
      </c>
      <c r="M7" s="9" t="s">
        <v>12</v>
      </c>
      <c r="N7" s="10"/>
    </row>
    <row r="8" spans="1:13" ht="13.5" thickTop="1">
      <c r="A8" s="11" t="s">
        <v>13</v>
      </c>
      <c r="B8" s="5"/>
      <c r="C8" s="5"/>
      <c r="D8" s="5"/>
      <c r="E8" s="5"/>
      <c r="F8" s="5"/>
      <c r="G8" s="12"/>
      <c r="H8" s="12"/>
      <c r="I8" s="5"/>
      <c r="J8" s="5"/>
      <c r="K8" s="5"/>
      <c r="L8" s="5"/>
      <c r="M8" s="5"/>
    </row>
    <row r="9" spans="1:13" ht="12.75">
      <c r="A9" s="13">
        <v>1</v>
      </c>
      <c r="B9" s="14" t="s">
        <v>24</v>
      </c>
      <c r="C9" s="15">
        <f>(13+12+9+12)/4</f>
        <v>11.5</v>
      </c>
      <c r="D9" s="15">
        <f>(13+16+21+6)/4</f>
        <v>14</v>
      </c>
      <c r="E9" s="16" t="s">
        <v>24</v>
      </c>
      <c r="F9" s="15">
        <f>(5+36+36+13+25)/5</f>
        <v>23</v>
      </c>
      <c r="G9" s="17" t="s">
        <v>24</v>
      </c>
      <c r="H9" s="17" t="s">
        <v>24</v>
      </c>
      <c r="I9" s="14">
        <f>(21+18+18+16)/4</f>
        <v>18.25</v>
      </c>
      <c r="J9" s="14">
        <f>(9+8+13+12)/4</f>
        <v>10.5</v>
      </c>
      <c r="K9" s="14">
        <v>15</v>
      </c>
      <c r="L9" s="14">
        <v>5</v>
      </c>
      <c r="M9" s="14">
        <v>21</v>
      </c>
    </row>
    <row r="10" spans="1:13" ht="12.75">
      <c r="A10" s="13">
        <v>2</v>
      </c>
      <c r="B10" s="14">
        <f>SUM(16+24+23+20)/4</f>
        <v>20.75</v>
      </c>
      <c r="C10" s="15" t="s">
        <v>24</v>
      </c>
      <c r="D10" s="15">
        <f>(9+6+6+8)/4</f>
        <v>7.25</v>
      </c>
      <c r="E10" s="15">
        <f>(5+5)/2</f>
        <v>5</v>
      </c>
      <c r="F10" s="18">
        <f>(13+9+19)/4</f>
        <v>10.25</v>
      </c>
      <c r="G10" s="17" t="s">
        <v>24</v>
      </c>
      <c r="H10" s="16" t="s">
        <v>24</v>
      </c>
      <c r="I10" s="14" t="s">
        <v>24</v>
      </c>
      <c r="J10" s="14" t="s">
        <v>24</v>
      </c>
      <c r="K10" s="14">
        <v>16</v>
      </c>
      <c r="L10" s="19" t="s">
        <v>24</v>
      </c>
      <c r="M10" s="14">
        <v>5</v>
      </c>
    </row>
    <row r="11" spans="1:13" ht="12.75">
      <c r="A11" s="13">
        <v>3</v>
      </c>
      <c r="B11" s="14">
        <f>SUM(18+18+21+27)/4</f>
        <v>21</v>
      </c>
      <c r="C11" s="15" t="s">
        <v>24</v>
      </c>
      <c r="D11" s="15">
        <f>(5+6)/2</f>
        <v>5.5</v>
      </c>
      <c r="E11" s="15">
        <f>(8+11+13)/3</f>
        <v>10.666666666666666</v>
      </c>
      <c r="F11" s="18">
        <f>(17+8+51)/4</f>
        <v>19</v>
      </c>
      <c r="G11" s="15">
        <f>(13+17+11+11)/4</f>
        <v>13</v>
      </c>
      <c r="H11" s="15">
        <f>(5+5)/2</f>
        <v>5</v>
      </c>
      <c r="I11" s="15">
        <f>(11+16+22)/3</f>
        <v>16.333333333333332</v>
      </c>
      <c r="J11" s="14">
        <f>(9+7)/2</f>
        <v>8</v>
      </c>
      <c r="K11" s="14">
        <v>16</v>
      </c>
      <c r="L11" s="14">
        <v>5</v>
      </c>
      <c r="M11" s="14">
        <v>5</v>
      </c>
    </row>
    <row r="12" spans="1:13" ht="12.75">
      <c r="A12" s="13">
        <v>4</v>
      </c>
      <c r="B12" s="14">
        <v>17</v>
      </c>
      <c r="C12" s="15">
        <f>(5+5+9+33)/4</f>
        <v>13</v>
      </c>
      <c r="D12" s="15">
        <f>(5+5+19)/3</f>
        <v>9.666666666666666</v>
      </c>
      <c r="E12" s="15">
        <f>(16+17)/2</f>
        <v>16.5</v>
      </c>
      <c r="F12" s="15" t="s">
        <v>24</v>
      </c>
      <c r="G12" s="15">
        <f>(27+15+36+32+34)/5</f>
        <v>28.8</v>
      </c>
      <c r="H12" s="16" t="s">
        <v>24</v>
      </c>
      <c r="I12" s="14" t="s">
        <v>24</v>
      </c>
      <c r="J12" s="14">
        <v>15</v>
      </c>
      <c r="K12" s="14">
        <v>21</v>
      </c>
      <c r="L12" s="14">
        <v>20</v>
      </c>
      <c r="M12" s="14">
        <v>5</v>
      </c>
    </row>
    <row r="13" spans="1:13" ht="12.75">
      <c r="A13" s="13">
        <v>5</v>
      </c>
      <c r="B13" s="14">
        <f>SUM(14+22)/2</f>
        <v>18</v>
      </c>
      <c r="C13" s="15">
        <f>(5+7+5+15+6)/5</f>
        <v>7.6</v>
      </c>
      <c r="D13" s="18" t="s">
        <v>24</v>
      </c>
      <c r="E13" s="15">
        <f>(7+5)/2</f>
        <v>6</v>
      </c>
      <c r="F13" s="15" t="s">
        <v>24</v>
      </c>
      <c r="G13" s="17" t="s">
        <v>24</v>
      </c>
      <c r="H13" s="15">
        <f>(5+5+5+5)/4</f>
        <v>5</v>
      </c>
      <c r="I13" s="14">
        <f>(9+11+10+23)/4</f>
        <v>13.25</v>
      </c>
      <c r="J13" s="14">
        <f>(13+13+13+6)/4</f>
        <v>11.25</v>
      </c>
      <c r="K13" s="14">
        <v>13</v>
      </c>
      <c r="L13" s="14">
        <v>13</v>
      </c>
      <c r="M13" s="14" t="s">
        <v>24</v>
      </c>
    </row>
    <row r="14" spans="1:13" ht="12.75">
      <c r="A14" s="13">
        <v>6</v>
      </c>
      <c r="B14" s="14">
        <f>SUM(18+28+21+23)/4</f>
        <v>22.5</v>
      </c>
      <c r="C14" s="15">
        <f>(5+5+9+21)/4</f>
        <v>10</v>
      </c>
      <c r="D14" s="15">
        <f>(5+5+5+7)/4</f>
        <v>5.5</v>
      </c>
      <c r="E14" s="17" t="s">
        <v>26</v>
      </c>
      <c r="F14" s="15">
        <f>(5+15+5+5)/4</f>
        <v>7.5</v>
      </c>
      <c r="G14" s="15">
        <f>(9+5+5+5)/4</f>
        <v>6</v>
      </c>
      <c r="H14" s="15">
        <f>(5+5+5+5+5+5)/6</f>
        <v>5</v>
      </c>
      <c r="I14" s="14">
        <f>(16+23+18+13)/4</f>
        <v>17.5</v>
      </c>
      <c r="J14" s="14">
        <f>(10+9+15+9)/4</f>
        <v>10.75</v>
      </c>
      <c r="K14" s="14">
        <v>11</v>
      </c>
      <c r="L14" s="14">
        <v>22</v>
      </c>
      <c r="M14" s="14">
        <v>5</v>
      </c>
    </row>
    <row r="15" spans="1:13" ht="12.75">
      <c r="A15" s="13">
        <v>7</v>
      </c>
      <c r="B15" s="14">
        <f>SUM(13+18+22+13)/4</f>
        <v>16.5</v>
      </c>
      <c r="C15" s="15">
        <f>(5+10+14+16)/4</f>
        <v>11.25</v>
      </c>
      <c r="D15" s="18" t="s">
        <v>24</v>
      </c>
      <c r="E15" s="17" t="s">
        <v>26</v>
      </c>
      <c r="F15" s="15">
        <f>(11+5+5+5+5)/5</f>
        <v>6.2</v>
      </c>
      <c r="G15" s="15">
        <f>(23+7)/2</f>
        <v>15</v>
      </c>
      <c r="H15" s="15">
        <f>(5+5)/2</f>
        <v>5</v>
      </c>
      <c r="I15" s="14">
        <f>(12+10+18)/3</f>
        <v>13.333333333333334</v>
      </c>
      <c r="J15" s="20">
        <f>(10+11+20+27)/4</f>
        <v>17</v>
      </c>
      <c r="K15" s="14">
        <v>10</v>
      </c>
      <c r="L15" s="19" t="s">
        <v>24</v>
      </c>
      <c r="M15" s="14">
        <v>5</v>
      </c>
    </row>
    <row r="16" spans="1:13" ht="12.75">
      <c r="A16" s="13">
        <v>8</v>
      </c>
      <c r="B16" s="14">
        <f>SUM(22+15+21+21)/4</f>
        <v>19.75</v>
      </c>
      <c r="C16" s="15" t="s">
        <v>24</v>
      </c>
      <c r="D16" s="15">
        <f>(5+5+5+5)/4</f>
        <v>5</v>
      </c>
      <c r="E16" s="17" t="s">
        <v>26</v>
      </c>
      <c r="F16" s="15">
        <f>(21+9+5+7+23)/5</f>
        <v>13</v>
      </c>
      <c r="G16" s="15">
        <f>(5+5+9+5)/4</f>
        <v>6</v>
      </c>
      <c r="H16" s="15">
        <f>(17+20+5+12)/4</f>
        <v>13.5</v>
      </c>
      <c r="I16" s="19" t="s">
        <v>24</v>
      </c>
      <c r="J16" s="14">
        <f>(28+24+24+31+17+15)/6</f>
        <v>23.166666666666668</v>
      </c>
      <c r="K16" s="14" t="s">
        <v>24</v>
      </c>
      <c r="L16" s="14">
        <v>19</v>
      </c>
      <c r="M16" s="14">
        <v>5</v>
      </c>
    </row>
    <row r="17" spans="1:13" ht="12.75">
      <c r="A17" s="13">
        <v>9</v>
      </c>
      <c r="B17" s="14">
        <f>(15+14)/2</f>
        <v>14.5</v>
      </c>
      <c r="C17" s="15">
        <f>(8+9+5+5)/4</f>
        <v>6.75</v>
      </c>
      <c r="D17" s="15">
        <f>(5+5+5+5)/4</f>
        <v>5</v>
      </c>
      <c r="E17" s="15">
        <f>(10+11+24)/3</f>
        <v>15</v>
      </c>
      <c r="F17" s="15">
        <f>(13+6)/2</f>
        <v>9.5</v>
      </c>
      <c r="G17" s="15">
        <f>(6+5)/2</f>
        <v>5.5</v>
      </c>
      <c r="H17" s="16" t="s">
        <v>24</v>
      </c>
      <c r="I17" s="14">
        <f>(12+25+12+18)/4</f>
        <v>16.75</v>
      </c>
      <c r="J17" s="14">
        <f>(18+24+14+11)/4</f>
        <v>16.75</v>
      </c>
      <c r="K17" s="14">
        <v>5</v>
      </c>
      <c r="L17" s="14">
        <v>11</v>
      </c>
      <c r="M17" s="14" t="s">
        <v>24</v>
      </c>
    </row>
    <row r="18" spans="1:13" ht="12.75">
      <c r="A18" s="13">
        <v>10</v>
      </c>
      <c r="B18" s="14">
        <f>(19+10+12+16)/4</f>
        <v>14.25</v>
      </c>
      <c r="C18" s="15">
        <f>(15+20+18+21)/4</f>
        <v>18.5</v>
      </c>
      <c r="D18" s="15">
        <f>(5+5)/2</f>
        <v>5</v>
      </c>
      <c r="E18" s="15">
        <f>(20+20)/2</f>
        <v>20</v>
      </c>
      <c r="F18" s="15">
        <f>(14+11+14+11)/4</f>
        <v>12.5</v>
      </c>
      <c r="G18" s="15">
        <f>(5+21+6+20)/4</f>
        <v>13</v>
      </c>
      <c r="H18" s="15">
        <f>(16+24+20+14)/4</f>
        <v>18.5</v>
      </c>
      <c r="I18" s="14">
        <f>(7+8+13+5)/4</f>
        <v>8.25</v>
      </c>
      <c r="J18" s="14" t="s">
        <v>24</v>
      </c>
      <c r="K18" s="14">
        <v>5</v>
      </c>
      <c r="L18" s="19" t="s">
        <v>24</v>
      </c>
      <c r="M18" s="14">
        <v>7</v>
      </c>
    </row>
    <row r="19" spans="1:13" ht="12.75">
      <c r="A19" s="13">
        <v>11</v>
      </c>
      <c r="B19" s="14" t="s">
        <v>24</v>
      </c>
      <c r="C19" s="15">
        <f>(16+14)/2</f>
        <v>15</v>
      </c>
      <c r="D19" s="15">
        <f>(7+5)/2</f>
        <v>6</v>
      </c>
      <c r="E19" s="16" t="s">
        <v>24</v>
      </c>
      <c r="F19" s="15">
        <f>(9+9)/2</f>
        <v>9</v>
      </c>
      <c r="G19" s="15">
        <f>(5+5+5+12)/4</f>
        <v>6.75</v>
      </c>
      <c r="H19" s="15">
        <f>(8+5+17+6)/4</f>
        <v>9</v>
      </c>
      <c r="I19" s="14">
        <f>(7+9)/2</f>
        <v>8</v>
      </c>
      <c r="J19" s="14">
        <f>(5+5+5+5)/4</f>
        <v>5</v>
      </c>
      <c r="K19" s="14">
        <v>5</v>
      </c>
      <c r="L19" s="14">
        <v>9</v>
      </c>
      <c r="M19" s="14">
        <v>7</v>
      </c>
    </row>
    <row r="20" spans="1:13" ht="12.75">
      <c r="A20" s="13">
        <v>12</v>
      </c>
      <c r="B20" s="14">
        <f>SUM(23+5)/2</f>
        <v>14</v>
      </c>
      <c r="C20" s="15">
        <f>(15+14)/2</f>
        <v>14.5</v>
      </c>
      <c r="D20" s="18" t="s">
        <v>24</v>
      </c>
      <c r="E20" s="15">
        <f>(12+11+11)/3</f>
        <v>11.333333333333334</v>
      </c>
      <c r="F20" s="18" t="s">
        <v>24</v>
      </c>
      <c r="G20" s="15">
        <f>(26+5+15+5)/4</f>
        <v>12.75</v>
      </c>
      <c r="H20" s="15">
        <f>(19+21+5+17)/4</f>
        <v>15.5</v>
      </c>
      <c r="I20" s="14" t="s">
        <v>24</v>
      </c>
      <c r="J20" s="14">
        <f>(5+6+27+5)/4</f>
        <v>10.75</v>
      </c>
      <c r="K20" s="14">
        <v>5</v>
      </c>
      <c r="L20" s="14">
        <v>12</v>
      </c>
      <c r="M20" s="14">
        <v>7</v>
      </c>
    </row>
    <row r="21" spans="1:13" ht="12.75">
      <c r="A21" s="13">
        <v>13</v>
      </c>
      <c r="B21" s="14">
        <f>(20+24+6+8)/4</f>
        <v>14.5</v>
      </c>
      <c r="C21" s="15">
        <f>(10+13+11+9)/4</f>
        <v>10.75</v>
      </c>
      <c r="D21" s="18" t="s">
        <v>24</v>
      </c>
      <c r="E21" s="15">
        <f>(13+15+28+13)/4</f>
        <v>17.25</v>
      </c>
      <c r="F21" s="15">
        <f>(15+16+35+28)/4</f>
        <v>23.5</v>
      </c>
      <c r="G21" s="17" t="s">
        <v>24</v>
      </c>
      <c r="H21" s="15">
        <f>(6+6+16+5)/4</f>
        <v>8.25</v>
      </c>
      <c r="I21" s="14">
        <f>(15+5+5+5)/4</f>
        <v>7.5</v>
      </c>
      <c r="J21" s="14" t="s">
        <v>24</v>
      </c>
      <c r="K21" s="14">
        <v>5</v>
      </c>
      <c r="L21" s="14">
        <v>5</v>
      </c>
      <c r="M21" s="14">
        <v>5</v>
      </c>
    </row>
    <row r="22" spans="1:13" ht="12.75">
      <c r="A22" s="13">
        <v>14</v>
      </c>
      <c r="B22" s="14">
        <f>(5+24+22+7)/4</f>
        <v>14.5</v>
      </c>
      <c r="C22" s="15">
        <f>(9+9+7+10)/4</f>
        <v>8.75</v>
      </c>
      <c r="D22" s="15">
        <f>(12+15+6+5)/4</f>
        <v>9.5</v>
      </c>
      <c r="E22" s="16" t="s">
        <v>24</v>
      </c>
      <c r="F22" s="15">
        <f>(17+22+17)/3</f>
        <v>18.666666666666668</v>
      </c>
      <c r="G22" s="15">
        <f>(5+6+5+5)/4</f>
        <v>5.25</v>
      </c>
      <c r="H22" s="16" t="s">
        <v>24</v>
      </c>
      <c r="I22" s="14">
        <f>(18+5+7)/3</f>
        <v>10</v>
      </c>
      <c r="J22" s="20">
        <f>(13+16+14+13+7)/5</f>
        <v>12.6</v>
      </c>
      <c r="K22" s="14">
        <v>16</v>
      </c>
      <c r="L22" s="14">
        <v>10</v>
      </c>
      <c r="M22" s="14">
        <v>5</v>
      </c>
    </row>
    <row r="23" spans="1:13" ht="12.75">
      <c r="A23" s="13">
        <v>15</v>
      </c>
      <c r="B23" s="14">
        <f>(5+5)/2</f>
        <v>5</v>
      </c>
      <c r="C23" s="15">
        <f>(1+5+5)/3</f>
        <v>3.6666666666666665</v>
      </c>
      <c r="D23" s="15">
        <f>(5+9+12+5+7+12)/6</f>
        <v>8.333333333333334</v>
      </c>
      <c r="E23" s="15">
        <f>(9+5)/2</f>
        <v>7</v>
      </c>
      <c r="F23" s="15" t="s">
        <v>24</v>
      </c>
      <c r="G23" s="17" t="s">
        <v>24</v>
      </c>
      <c r="H23" s="15">
        <f>(6+6+5+5)/4</f>
        <v>5.5</v>
      </c>
      <c r="I23" s="14">
        <f>(29+15+16+17)/4</f>
        <v>19.25</v>
      </c>
      <c r="J23" s="20">
        <f>(10+18+15+14+13+15+8)/7</f>
        <v>13.285714285714286</v>
      </c>
      <c r="K23" s="14">
        <v>15</v>
      </c>
      <c r="L23" s="19" t="s">
        <v>24</v>
      </c>
      <c r="M23" s="14">
        <v>6</v>
      </c>
    </row>
    <row r="24" spans="1:13" ht="12.75">
      <c r="A24" s="13">
        <v>16</v>
      </c>
      <c r="B24" s="14">
        <f>(11+16+10)/3</f>
        <v>12.333333333333334</v>
      </c>
      <c r="C24" s="18" t="s">
        <v>24</v>
      </c>
      <c r="D24" s="15">
        <f>(10+13+11+5+11+17)/6</f>
        <v>11.166666666666666</v>
      </c>
      <c r="E24" s="15">
        <f>(5+7+22)/3</f>
        <v>11.333333333333334</v>
      </c>
      <c r="F24" s="18">
        <f>(24+22)/4</f>
        <v>11.5</v>
      </c>
      <c r="G24" s="15">
        <f>(5+5+5+5)/4</f>
        <v>5</v>
      </c>
      <c r="H24" s="15">
        <f>(6+5+12+16+5+14)/6</f>
        <v>9.666666666666666</v>
      </c>
      <c r="I24" s="14">
        <f>(14+8)/2</f>
        <v>11</v>
      </c>
      <c r="J24" s="14">
        <f>(8+11+5+6)/4</f>
        <v>7.5</v>
      </c>
      <c r="K24" s="14">
        <v>25</v>
      </c>
      <c r="L24" s="14">
        <v>5</v>
      </c>
      <c r="M24" s="14">
        <v>6</v>
      </c>
    </row>
    <row r="25" spans="1:13" ht="12.75">
      <c r="A25" s="13">
        <v>17</v>
      </c>
      <c r="B25" s="14">
        <f>(14+6+6+5)/4</f>
        <v>7.75</v>
      </c>
      <c r="C25" s="15">
        <f>(23+5+6+5)/4</f>
        <v>9.75</v>
      </c>
      <c r="D25" s="15">
        <f>(8+12)/2</f>
        <v>10</v>
      </c>
      <c r="E25" s="15">
        <f>(5+6)/2</f>
        <v>5.5</v>
      </c>
      <c r="F25" s="15">
        <f>(30+30+9+5)/4</f>
        <v>18.5</v>
      </c>
      <c r="G25" s="15">
        <f>(5+5)/2</f>
        <v>5</v>
      </c>
      <c r="H25" s="15">
        <f>(5+5)/2</f>
        <v>5</v>
      </c>
      <c r="I25" s="14" t="s">
        <v>24</v>
      </c>
      <c r="J25" s="14">
        <f>(10+10+10+34)/4</f>
        <v>16</v>
      </c>
      <c r="K25" s="19" t="s">
        <v>24</v>
      </c>
      <c r="L25" s="19" t="s">
        <v>24</v>
      </c>
      <c r="M25" s="19" t="s">
        <v>24</v>
      </c>
    </row>
    <row r="26" spans="1:13" ht="12.75">
      <c r="A26" s="13">
        <v>18</v>
      </c>
      <c r="B26" s="14">
        <f>(5+5+5+6)/4</f>
        <v>5.25</v>
      </c>
      <c r="C26" s="15">
        <v>5</v>
      </c>
      <c r="D26" s="15">
        <f>(5+9+13+9)/4</f>
        <v>9</v>
      </c>
      <c r="E26" s="16" t="s">
        <v>24</v>
      </c>
      <c r="F26" s="15">
        <f>(5+5)/2</f>
        <v>5</v>
      </c>
      <c r="G26" s="15">
        <f>(5+10+6)/3</f>
        <v>7</v>
      </c>
      <c r="H26" s="15">
        <f>(5+5)/2</f>
        <v>5</v>
      </c>
      <c r="I26" s="14">
        <f>(28+5)/2</f>
        <v>16.5</v>
      </c>
      <c r="J26" s="14">
        <f>(10+18+8+20)/4</f>
        <v>14</v>
      </c>
      <c r="K26" s="14">
        <v>21</v>
      </c>
      <c r="L26" s="14">
        <v>5</v>
      </c>
      <c r="M26" s="19" t="s">
        <v>24</v>
      </c>
    </row>
    <row r="27" spans="1:13" ht="12.75">
      <c r="A27" s="13">
        <v>19</v>
      </c>
      <c r="B27" s="21">
        <f>(5+5)/2</f>
        <v>5</v>
      </c>
      <c r="C27" s="18" t="s">
        <v>24</v>
      </c>
      <c r="D27" s="15">
        <f>(18+5+26+5)/4</f>
        <v>13.5</v>
      </c>
      <c r="E27" s="16" t="s">
        <v>24</v>
      </c>
      <c r="F27" s="15">
        <f>(5+5+5+17)/4</f>
        <v>8</v>
      </c>
      <c r="G27" s="15">
        <f>(5+5)/2</f>
        <v>5</v>
      </c>
      <c r="H27" s="15">
        <f>(7+5+8+6)/4</f>
        <v>6.5</v>
      </c>
      <c r="I27" s="14">
        <f>(7+7+7+11)/4</f>
        <v>8</v>
      </c>
      <c r="J27" s="14">
        <f>(28+23+15+26)/4</f>
        <v>23</v>
      </c>
      <c r="K27" s="14">
        <v>7</v>
      </c>
      <c r="L27" s="14">
        <v>5</v>
      </c>
      <c r="M27" s="14">
        <v>5</v>
      </c>
    </row>
    <row r="28" spans="1:13" ht="12.75">
      <c r="A28" s="13">
        <v>20</v>
      </c>
      <c r="B28" s="14" t="s">
        <v>24</v>
      </c>
      <c r="C28" s="15">
        <f>(6+5)/2</f>
        <v>5.5</v>
      </c>
      <c r="D28" s="15">
        <f>(19+10+7+9)/4</f>
        <v>11.25</v>
      </c>
      <c r="E28" s="16" t="s">
        <v>24</v>
      </c>
      <c r="F28" s="15">
        <f>(5+5+5+5)/4</f>
        <v>5</v>
      </c>
      <c r="G28" s="17" t="s">
        <v>24</v>
      </c>
      <c r="H28" s="17" t="s">
        <v>24</v>
      </c>
      <c r="I28" s="14">
        <f>(8+5+10+8)/4</f>
        <v>7.75</v>
      </c>
      <c r="J28" s="14" t="s">
        <v>24</v>
      </c>
      <c r="K28" s="14">
        <v>7</v>
      </c>
      <c r="L28" s="14">
        <v>5</v>
      </c>
      <c r="M28" s="14">
        <v>6</v>
      </c>
    </row>
    <row r="29" spans="1:13" ht="12.75">
      <c r="A29" s="13">
        <v>21</v>
      </c>
      <c r="B29" s="14">
        <f>(6+7+12+6)/4</f>
        <v>7.75</v>
      </c>
      <c r="C29" s="15">
        <f>(11+14+27+9)/4</f>
        <v>15.25</v>
      </c>
      <c r="D29" s="15">
        <f>(15+27)/2</f>
        <v>21</v>
      </c>
      <c r="E29" s="15">
        <f>(11+6+8+9)/4</f>
        <v>8.5</v>
      </c>
      <c r="F29" s="18" t="s">
        <v>24</v>
      </c>
      <c r="G29" s="15">
        <f>(11+10)/2</f>
        <v>10.5</v>
      </c>
      <c r="H29" s="17" t="s">
        <v>24</v>
      </c>
      <c r="I29" s="19" t="s">
        <v>24</v>
      </c>
      <c r="J29" s="14">
        <f>(10+11+14+19)/4</f>
        <v>13.5</v>
      </c>
      <c r="K29" s="14">
        <v>13</v>
      </c>
      <c r="L29" s="19" t="s">
        <v>24</v>
      </c>
      <c r="M29" s="14">
        <v>5</v>
      </c>
    </row>
    <row r="30" spans="1:13" ht="12.75">
      <c r="A30" s="13">
        <v>22</v>
      </c>
      <c r="B30" s="14">
        <f>(18+28+22+10)/4</f>
        <v>19.5</v>
      </c>
      <c r="C30" s="15">
        <f>(6+8+9)/3</f>
        <v>7.666666666666667</v>
      </c>
      <c r="D30" s="18" t="s">
        <v>24</v>
      </c>
      <c r="E30" s="15">
        <f>(5+8+7+16+17)/5</f>
        <v>10.6</v>
      </c>
      <c r="F30" s="18" t="s">
        <v>24</v>
      </c>
      <c r="G30" s="15">
        <f>(24+6)/2</f>
        <v>15</v>
      </c>
      <c r="H30" s="15">
        <f>(14+23+5+7)/4</f>
        <v>12.25</v>
      </c>
      <c r="I30" s="14">
        <v>6</v>
      </c>
      <c r="J30" s="14">
        <f>(16+13+18+11)/4</f>
        <v>14.5</v>
      </c>
      <c r="K30" s="14" t="s">
        <v>24</v>
      </c>
      <c r="L30" s="14">
        <v>5</v>
      </c>
      <c r="M30" s="14">
        <v>11</v>
      </c>
    </row>
    <row r="31" spans="1:13" ht="12.75">
      <c r="A31" s="13">
        <v>23</v>
      </c>
      <c r="B31" s="14">
        <f>(25+16)/2</f>
        <v>20.5</v>
      </c>
      <c r="C31" s="15">
        <f>(14+7+9)/3</f>
        <v>10</v>
      </c>
      <c r="D31" s="18" t="s">
        <v>24</v>
      </c>
      <c r="E31" s="15">
        <f>(11+19+23)/3</f>
        <v>17.666666666666668</v>
      </c>
      <c r="F31" s="15">
        <f>(5+5+8+5+5)/5</f>
        <v>5.6</v>
      </c>
      <c r="G31" s="15">
        <f>(7+5+12+17+11+14)/6</f>
        <v>11</v>
      </c>
      <c r="H31" s="15">
        <f>(9+5+6)/3</f>
        <v>6.666666666666667</v>
      </c>
      <c r="I31" s="14" t="s">
        <v>24</v>
      </c>
      <c r="J31" s="14">
        <f>(17+18+22+31)/4</f>
        <v>22</v>
      </c>
      <c r="K31" s="14">
        <v>25</v>
      </c>
      <c r="L31" s="14">
        <v>5</v>
      </c>
      <c r="M31" s="19" t="s">
        <v>24</v>
      </c>
    </row>
    <row r="32" spans="1:13" ht="12.75">
      <c r="A32" s="13">
        <v>24</v>
      </c>
      <c r="B32" s="14" t="s">
        <v>24</v>
      </c>
      <c r="C32" s="15">
        <f>(11+7+5)/3</f>
        <v>7.666666666666667</v>
      </c>
      <c r="D32" s="15">
        <f>(12+14+20+8)/4</f>
        <v>13.5</v>
      </c>
      <c r="E32" s="15">
        <f>(14+15+23+20)/4</f>
        <v>18</v>
      </c>
      <c r="F32" s="15">
        <f>(5+5+5+38)/4</f>
        <v>13.25</v>
      </c>
      <c r="G32" s="15">
        <f>(13+14)/2</f>
        <v>13.5</v>
      </c>
      <c r="H32" s="15">
        <f>(18+19+8+5)/4</f>
        <v>12.5</v>
      </c>
      <c r="I32" s="14">
        <f>(5+5+5+5)/4</f>
        <v>5</v>
      </c>
      <c r="J32" s="14">
        <f>(18+9+16+29)/4</f>
        <v>18</v>
      </c>
      <c r="K32" s="14">
        <v>7</v>
      </c>
      <c r="L32" s="14">
        <v>8</v>
      </c>
      <c r="M32" s="19" t="s">
        <v>24</v>
      </c>
    </row>
    <row r="33" spans="1:13" ht="12.75">
      <c r="A33" s="13">
        <v>25</v>
      </c>
      <c r="B33" s="14">
        <f>(22+20+15+25)/4</f>
        <v>20.5</v>
      </c>
      <c r="C33" s="15">
        <f>(15+5)/2</f>
        <v>10</v>
      </c>
      <c r="D33" s="15">
        <f>(19+23+9+8)/4</f>
        <v>14.75</v>
      </c>
      <c r="E33" s="16" t="s">
        <v>24</v>
      </c>
      <c r="F33" s="15">
        <f>(22+25+31+19)/4</f>
        <v>24.25</v>
      </c>
      <c r="G33" s="17" t="s">
        <v>24</v>
      </c>
      <c r="H33" s="15">
        <f>(11+6)/2</f>
        <v>8.5</v>
      </c>
      <c r="I33" s="14">
        <f>(7+5+5)/3</f>
        <v>5.666666666666667</v>
      </c>
      <c r="J33" s="14" t="s">
        <v>24</v>
      </c>
      <c r="K33" s="14" t="s">
        <v>24</v>
      </c>
      <c r="L33" s="14">
        <v>18</v>
      </c>
      <c r="M33" s="14">
        <v>5</v>
      </c>
    </row>
    <row r="34" spans="1:13" ht="12.75">
      <c r="A34" s="13">
        <v>26</v>
      </c>
      <c r="B34" s="14">
        <f>(24+19+5+7)/4</f>
        <v>13.75</v>
      </c>
      <c r="C34" s="15">
        <f>(17+6+8)/8</f>
        <v>3.875</v>
      </c>
      <c r="D34" s="15">
        <f>(25+6)/2</f>
        <v>15.5</v>
      </c>
      <c r="E34" s="16" t="s">
        <v>24</v>
      </c>
      <c r="F34" s="15">
        <f>(11+8)/2</f>
        <v>9.5</v>
      </c>
      <c r="G34" s="15">
        <f>(11+10+20+8)/4</f>
        <v>12.25</v>
      </c>
      <c r="H34" s="15">
        <f>(5+15+9+9)/4</f>
        <v>9.5</v>
      </c>
      <c r="I34" s="14">
        <f>(13+12+15+9)/4</f>
        <v>12.25</v>
      </c>
      <c r="J34" s="14">
        <f>(17+22+8+12)/4</f>
        <v>14.75</v>
      </c>
      <c r="K34" s="14" t="s">
        <v>24</v>
      </c>
      <c r="L34" s="14">
        <v>5</v>
      </c>
      <c r="M34" s="14">
        <v>20</v>
      </c>
    </row>
    <row r="35" spans="1:13" ht="12.75">
      <c r="A35" s="13">
        <v>27</v>
      </c>
      <c r="B35" s="20">
        <f>(5+8+12+10)/4</f>
        <v>8.75</v>
      </c>
      <c r="C35" s="15">
        <f>(12+14+15+18)/4</f>
        <v>14.75</v>
      </c>
      <c r="D35" s="15">
        <f>(5+11+7)/3</f>
        <v>7.666666666666667</v>
      </c>
      <c r="E35" s="16" t="s">
        <v>24</v>
      </c>
      <c r="F35" s="18" t="s">
        <v>24</v>
      </c>
      <c r="G35" s="15">
        <f>(10+12+9+27)/4</f>
        <v>14.5</v>
      </c>
      <c r="H35" s="17" t="s">
        <v>24</v>
      </c>
      <c r="I35" s="14">
        <f>(5+20+11+23+14+18+8+27)/8</f>
        <v>15.75</v>
      </c>
      <c r="J35" s="14">
        <f>(6+14+20+9)/4</f>
        <v>12.25</v>
      </c>
      <c r="K35" s="14">
        <v>7</v>
      </c>
      <c r="L35" s="14">
        <v>5</v>
      </c>
      <c r="M35" s="14">
        <v>5</v>
      </c>
    </row>
    <row r="36" spans="1:13" ht="12.75">
      <c r="A36" s="13">
        <v>28</v>
      </c>
      <c r="B36" s="14">
        <f>(12+16+10)/3</f>
        <v>12.666666666666666</v>
      </c>
      <c r="C36" s="18" t="s">
        <v>24</v>
      </c>
      <c r="D36" s="15">
        <f>(5+5+10+11+11)/5</f>
        <v>8.4</v>
      </c>
      <c r="E36" s="16" t="s">
        <v>24</v>
      </c>
      <c r="F36" s="15">
        <f>(20+5+15+26)/4</f>
        <v>16.5</v>
      </c>
      <c r="G36" s="15">
        <f>(18+6+6+5)/4</f>
        <v>8.75</v>
      </c>
      <c r="H36" s="15">
        <f>(7+6)/2</f>
        <v>6.5</v>
      </c>
      <c r="I36" s="14">
        <f>(25+13)/2</f>
        <v>19</v>
      </c>
      <c r="J36" s="14">
        <f>(9+28)/2</f>
        <v>18.5</v>
      </c>
      <c r="K36" s="14">
        <v>8</v>
      </c>
      <c r="L36" s="19" t="s">
        <v>24</v>
      </c>
      <c r="M36" s="14">
        <v>5</v>
      </c>
    </row>
    <row r="37" spans="1:13" ht="12.75">
      <c r="A37" s="13">
        <v>29</v>
      </c>
      <c r="B37" s="14">
        <f>(10+21+14)/3</f>
        <v>15</v>
      </c>
      <c r="C37" s="15" t="s">
        <v>25</v>
      </c>
      <c r="D37" s="15">
        <f>(6+6+7+6)/4</f>
        <v>6.25</v>
      </c>
      <c r="E37" s="15">
        <f>(41+5+7+8)/4</f>
        <v>15.25</v>
      </c>
      <c r="F37" s="18" t="s">
        <v>24</v>
      </c>
      <c r="G37" s="15">
        <f>(12+6)/2</f>
        <v>9</v>
      </c>
      <c r="H37" s="15">
        <f>(25+17+10+7)/4</f>
        <v>14.75</v>
      </c>
      <c r="I37" s="14">
        <f>(14+22+18+5)/4</f>
        <v>14.75</v>
      </c>
      <c r="J37" s="14" t="s">
        <v>24</v>
      </c>
      <c r="K37" s="14">
        <v>7</v>
      </c>
      <c r="L37" s="20">
        <v>5</v>
      </c>
      <c r="M37" s="14">
        <v>5</v>
      </c>
    </row>
    <row r="38" spans="1:13" ht="12.75">
      <c r="A38" s="13">
        <v>30</v>
      </c>
      <c r="B38" s="14">
        <f>(7+7)/2</f>
        <v>7</v>
      </c>
      <c r="C38" s="15" t="s">
        <v>25</v>
      </c>
      <c r="D38" s="15">
        <f>(8+5+5+11)/4</f>
        <v>7.25</v>
      </c>
      <c r="E38" s="16" t="s">
        <v>24</v>
      </c>
      <c r="F38" s="15">
        <f>(16+8)/2</f>
        <v>12</v>
      </c>
      <c r="G38" s="15">
        <f>(6+6)/2</f>
        <v>6</v>
      </c>
      <c r="H38" s="15">
        <f>(5+14+17+13)/4</f>
        <v>12.25</v>
      </c>
      <c r="I38" s="14" t="s">
        <v>24</v>
      </c>
      <c r="J38" s="14" t="s">
        <v>24</v>
      </c>
      <c r="K38" s="14">
        <v>14</v>
      </c>
      <c r="L38" s="19" t="s">
        <v>24</v>
      </c>
      <c r="M38" s="19" t="s">
        <v>24</v>
      </c>
    </row>
    <row r="39" spans="1:13" ht="13.5" thickBot="1">
      <c r="A39" s="22">
        <v>31</v>
      </c>
      <c r="B39" s="23" t="s">
        <v>24</v>
      </c>
      <c r="C39" s="24" t="s">
        <v>25</v>
      </c>
      <c r="D39" s="25">
        <f>(6+5)/2</f>
        <v>5.5</v>
      </c>
      <c r="E39" s="26" t="s">
        <v>25</v>
      </c>
      <c r="F39" s="24">
        <f>(5+21+18+8)/4</f>
        <v>13</v>
      </c>
      <c r="G39" s="23" t="s">
        <v>25</v>
      </c>
      <c r="H39" s="25">
        <v>17</v>
      </c>
      <c r="I39" s="23">
        <f>(26+5+26+25)/4</f>
        <v>20.5</v>
      </c>
      <c r="J39" s="23" t="s">
        <v>27</v>
      </c>
      <c r="K39" s="23">
        <v>13</v>
      </c>
      <c r="L39" s="23" t="s">
        <v>27</v>
      </c>
      <c r="M39" s="23">
        <v>6</v>
      </c>
    </row>
    <row r="40" spans="1:13" ht="14.25" thickBot="1" thickTop="1">
      <c r="A40" s="27" t="s">
        <v>14</v>
      </c>
      <c r="B40" s="28">
        <v>14.153846153846157</v>
      </c>
      <c r="C40" s="28">
        <v>10.032954545454544</v>
      </c>
      <c r="D40" s="28">
        <v>9.419333333333332</v>
      </c>
      <c r="E40" s="28">
        <v>12.225</v>
      </c>
      <c r="F40" s="28">
        <v>12.792028985507246</v>
      </c>
      <c r="G40" s="28">
        <v>10.197826086956523</v>
      </c>
      <c r="H40" s="28">
        <v>9.405797101449275</v>
      </c>
      <c r="I40" s="28">
        <v>12.634057971014492</v>
      </c>
      <c r="J40" s="1">
        <v>14.263146997929608</v>
      </c>
      <c r="K40" s="1">
        <v>12</v>
      </c>
      <c r="L40" s="1">
        <v>9.181818181818182</v>
      </c>
      <c r="M40" s="1">
        <v>6.958333333333333</v>
      </c>
    </row>
    <row r="41" spans="1:13" ht="13.5" thickTop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1:13" ht="12.75">
      <c r="A42" s="30" t="s">
        <v>15</v>
      </c>
      <c r="B42" s="4"/>
      <c r="C42" s="4"/>
      <c r="D42" s="4"/>
      <c r="E42" s="4"/>
      <c r="F42" s="4"/>
      <c r="G42" s="5"/>
      <c r="H42" s="5"/>
      <c r="I42" s="5"/>
      <c r="J42" s="5"/>
      <c r="K42" s="5"/>
      <c r="L42" s="5"/>
      <c r="M42" s="5"/>
    </row>
    <row r="43" spans="1:13" ht="12.75">
      <c r="A43" s="29" t="s">
        <v>16</v>
      </c>
      <c r="B43" s="4"/>
      <c r="C43" s="4"/>
      <c r="D43" s="4"/>
      <c r="E43" s="4"/>
      <c r="F43" s="30"/>
      <c r="G43" s="30"/>
      <c r="H43" s="31"/>
      <c r="I43" s="32"/>
      <c r="J43" s="29"/>
      <c r="K43" s="29"/>
      <c r="L43" s="29"/>
      <c r="M43" s="29"/>
    </row>
    <row r="44" spans="1:13" ht="12.75">
      <c r="A44" s="29" t="s">
        <v>17</v>
      </c>
      <c r="B44" s="29"/>
      <c r="C44" s="29"/>
      <c r="D44" s="29"/>
      <c r="E44" s="29"/>
      <c r="F44" s="4"/>
      <c r="G44" s="5"/>
      <c r="H44" s="5"/>
      <c r="I44" s="5"/>
      <c r="J44" s="5"/>
      <c r="K44" s="5"/>
      <c r="L44" s="5"/>
      <c r="M44" s="5"/>
    </row>
    <row r="45" spans="1:13" ht="12.75">
      <c r="A45" s="29" t="s">
        <v>18</v>
      </c>
      <c r="B45" s="4"/>
      <c r="C45" s="4"/>
      <c r="D45" s="4"/>
      <c r="E45" s="33"/>
      <c r="F45" s="5"/>
      <c r="G45" s="5"/>
      <c r="H45" s="5"/>
      <c r="I45" s="5"/>
      <c r="J45" s="5"/>
      <c r="K45" s="5"/>
      <c r="L45" s="5"/>
      <c r="M45" s="5"/>
    </row>
    <row r="46" spans="1:13" ht="12.75">
      <c r="A46" s="29" t="s">
        <v>19</v>
      </c>
      <c r="B46" s="29"/>
      <c r="C46" s="29"/>
      <c r="D46" s="30"/>
      <c r="E46" s="30"/>
      <c r="F46" s="29"/>
      <c r="G46" s="29"/>
      <c r="H46" s="33"/>
      <c r="I46" s="29"/>
      <c r="J46" s="29"/>
      <c r="K46" s="29"/>
      <c r="L46" s="29"/>
      <c r="M46" s="29"/>
    </row>
    <row r="47" spans="1:13" ht="12.75">
      <c r="A47" s="29" t="s">
        <v>20</v>
      </c>
      <c r="B47" s="4"/>
      <c r="C47" s="4"/>
      <c r="D47" s="4"/>
      <c r="E47" s="33"/>
      <c r="F47" s="4"/>
      <c r="G47" s="5"/>
      <c r="H47" s="30"/>
      <c r="I47" s="5"/>
      <c r="J47" s="5"/>
      <c r="K47" s="5"/>
      <c r="L47" s="5"/>
      <c r="M47" s="5"/>
    </row>
    <row r="48" spans="1:13" ht="12.75">
      <c r="A48" s="29" t="s">
        <v>21</v>
      </c>
      <c r="B48" s="4"/>
      <c r="C48" s="4"/>
      <c r="D48" s="4"/>
      <c r="E48" s="30"/>
      <c r="F48" s="29"/>
      <c r="G48" s="29"/>
      <c r="H48" s="33"/>
      <c r="I48" s="29"/>
      <c r="J48" s="29"/>
      <c r="K48" s="29"/>
      <c r="L48" s="29"/>
      <c r="M48" s="29"/>
    </row>
    <row r="49" spans="1:13" ht="12.75">
      <c r="A49" s="5"/>
      <c r="B49" s="4"/>
      <c r="C49" s="4"/>
      <c r="D49" s="4"/>
      <c r="E49" s="4"/>
      <c r="F49" s="4"/>
      <c r="G49" s="5"/>
      <c r="H49" s="30"/>
      <c r="I49" s="5"/>
      <c r="J49" s="5"/>
      <c r="K49" s="5"/>
      <c r="L49" s="5"/>
      <c r="M49" s="5"/>
    </row>
    <row r="50" spans="1:13" s="10" customFormat="1" ht="12.75">
      <c r="A50" s="6"/>
      <c r="B50" s="6"/>
      <c r="C50" s="6"/>
      <c r="D50" s="6"/>
      <c r="E50" s="34"/>
      <c r="L50" s="35"/>
      <c r="M50" s="36"/>
    </row>
    <row r="51" spans="1:13" s="10" customFormat="1" ht="12.75">
      <c r="A51" s="37" t="s">
        <v>28</v>
      </c>
      <c r="B51" s="38"/>
      <c r="C51" s="38"/>
      <c r="D51" s="38"/>
      <c r="E51" s="38"/>
      <c r="F51" s="39"/>
      <c r="L51" s="35"/>
      <c r="M51" s="36"/>
    </row>
    <row r="52" spans="1:13" s="10" customFormat="1" ht="12.75">
      <c r="A52" s="40"/>
      <c r="B52" s="41"/>
      <c r="C52" s="41"/>
      <c r="D52" s="41"/>
      <c r="E52" s="41"/>
      <c r="F52" s="42"/>
      <c r="L52" s="35"/>
      <c r="M52" s="36"/>
    </row>
    <row r="53" spans="1:13" s="10" customFormat="1" ht="12.75">
      <c r="A53" s="40"/>
      <c r="B53" s="41"/>
      <c r="C53" s="41"/>
      <c r="D53" s="41"/>
      <c r="E53" s="41"/>
      <c r="F53" s="42"/>
      <c r="L53" s="35"/>
      <c r="M53" s="36"/>
    </row>
    <row r="54" spans="1:6" ht="12.75">
      <c r="A54" s="43"/>
      <c r="B54" s="44"/>
      <c r="C54" s="44"/>
      <c r="D54" s="44"/>
      <c r="E54" s="44"/>
      <c r="F54" s="45"/>
    </row>
  </sheetData>
  <sheetProtection password="C8C8" sheet="1" objects="1" scenarios="1"/>
  <conditionalFormatting sqref="A7">
    <cfRule type="expression" priority="1" dxfId="0" stopIfTrue="1">
      <formula>+IF(#REF!="erro",TRUE)</formula>
    </cfRule>
  </conditionalFormatting>
  <conditionalFormatting sqref="B7:M7 A6">
    <cfRule type="cellIs" priority="2" dxfId="1" operator="equal" stopIfTrue="1">
      <formula>"*"</formula>
    </cfRule>
    <cfRule type="cellIs" priority="3" dxfId="2" operator="equal" stopIfTrue="1">
      <formula>"A"</formula>
    </cfRule>
  </conditionalFormatting>
  <conditionalFormatting sqref="K40:M40">
    <cfRule type="cellIs" priority="4" dxfId="3" operator="greaterThan" stopIfTrue="1">
      <formula>29</formula>
    </cfRule>
  </conditionalFormatting>
  <conditionalFormatting sqref="J40">
    <cfRule type="cellIs" priority="5" dxfId="4" operator="greaterThan" stopIfTrue="1">
      <formula>29</formula>
    </cfRule>
  </conditionalFormatting>
  <conditionalFormatting sqref="I12:I39 I9:I10 B9:B39 G39:H39 D39 J9:M39">
    <cfRule type="cellIs" priority="6" dxfId="5" operator="greaterThan" stopIfTrue="1">
      <formula>42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80" r:id="rId3"/>
  <legacyDrawing r:id="rId2"/>
  <oleObjects>
    <oleObject progId="" shapeId="49503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Petrobras</cp:lastModifiedBy>
  <cp:lastPrinted>2011-03-15T20:35:12Z</cp:lastPrinted>
  <dcterms:created xsi:type="dcterms:W3CDTF">2010-08-23T13:04:41Z</dcterms:created>
  <dcterms:modified xsi:type="dcterms:W3CDTF">2011-03-31T20:58:39Z</dcterms:modified>
  <cp:category/>
  <cp:version/>
  <cp:contentType/>
  <cp:contentStatus/>
</cp:coreProperties>
</file>