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315" windowWidth="11355" windowHeight="8295" tabRatio="906" activeTab="0"/>
  </bookViews>
  <sheets>
    <sheet name="Orçamento" sheetId="1" r:id="rId1"/>
    <sheet name="Cronograma Físico-Financeiro" sheetId="2" r:id="rId2"/>
  </sheets>
  <definedNames>
    <definedName name="_xlnm.Print_Area" localSheetId="1">'Cronograma Físico-Financeiro'!$A$1:$M$32</definedName>
    <definedName name="_xlnm.Print_Area" localSheetId="0">'Orçamento'!$A$1:$I$185</definedName>
    <definedName name="DadosExternos_1" localSheetId="0">'Orçamento'!#REF!</definedName>
    <definedName name="DadosExternos_2" localSheetId="0">'Orçamento'!#REF!</definedName>
    <definedName name="DadosExternos_3" localSheetId="0">'Orçamento'!#REF!</definedName>
    <definedName name="DadosExternos_4" localSheetId="0">'Orçamento'!#REF!</definedName>
    <definedName name="DadosExternos_5" localSheetId="0">'Orçamento'!#REF!</definedName>
    <definedName name="DadosExternos_6" localSheetId="0">'Orçamento'!#REF!</definedName>
    <definedName name="_xlnm.Print_Titles" localSheetId="0">'Orçamento'!$10:$10</definedName>
  </definedNames>
  <calcPr fullCalcOnLoad="1"/>
</workbook>
</file>

<file path=xl/sharedStrings.xml><?xml version="1.0" encoding="utf-8"?>
<sst xmlns="http://schemas.openxmlformats.org/spreadsheetml/2006/main" count="538" uniqueCount="257">
  <si>
    <t>SERVIÇOS PRELIMINARES</t>
  </si>
  <si>
    <t xml:space="preserve">REVESTIMENTOS </t>
  </si>
  <si>
    <t>INSTALAÇÕES ELÉTRICAS</t>
  </si>
  <si>
    <t>FONTE</t>
  </si>
  <si>
    <t>kg</t>
  </si>
  <si>
    <t>74254/002</t>
  </si>
  <si>
    <t>Limpeza Final Da Obra</t>
  </si>
  <si>
    <t>SUBTOTAL</t>
  </si>
  <si>
    <t>74157/004</t>
  </si>
  <si>
    <t>Lancamento/aplicacao manual de concreto em fundacoes</t>
  </si>
  <si>
    <t>74157/003</t>
  </si>
  <si>
    <t>Lancamento/aplicacao manual de concreto em estruturas</t>
  </si>
  <si>
    <t>TOTAL</t>
  </si>
  <si>
    <t>Forma Madeira Comp Resinada 12mm P/Estrutura Reaprov 3 Vezes - Corte/Montagem/Escoramento/Desforma</t>
  </si>
  <si>
    <t>COBERTURA</t>
  </si>
  <si>
    <t>ITEM</t>
  </si>
  <si>
    <t>m</t>
  </si>
  <si>
    <t>74106/001</t>
  </si>
  <si>
    <t xml:space="preserve">Escavação rasa manual de solo de 1ª categoria - </t>
  </si>
  <si>
    <t>Apiloamento de fundo de cava com maço 30 Kg</t>
  </si>
  <si>
    <t>SERVIÇOS COMPLEMENTARES</t>
  </si>
  <si>
    <t>73860/008</t>
  </si>
  <si>
    <t>SINAPI</t>
  </si>
  <si>
    <t>CÓDIGO</t>
  </si>
  <si>
    <t>ESPECIFICAÇÃO</t>
  </si>
  <si>
    <t>UNID.</t>
  </si>
  <si>
    <t>QUANT.</t>
  </si>
  <si>
    <t>P. UNIT. (R$)</t>
  </si>
  <si>
    <t>P. TOTAL (R$)</t>
  </si>
  <si>
    <t>73972/001</t>
  </si>
  <si>
    <t>Concreto estrutural fck= 25 mpa, virado em betoneira, na obra, sem lançamento</t>
  </si>
  <si>
    <t>PLANILHA DE ESTIMATIVA DE CUSTO</t>
  </si>
  <si>
    <t>P. UNIT.+B.D.I.</t>
  </si>
  <si>
    <t>74130/001</t>
  </si>
  <si>
    <t xml:space="preserve">B.D.I. = </t>
  </si>
  <si>
    <t>74130/003</t>
  </si>
  <si>
    <t>Instalações provisórias de energia</t>
  </si>
  <si>
    <t>m2</t>
  </si>
  <si>
    <t>ESQUADRIAS</t>
  </si>
  <si>
    <t>FUNDAÇÃO</t>
  </si>
  <si>
    <t>ESTRUTURA</t>
  </si>
  <si>
    <t>INSTALAÇÕES HIDROSSANITARIAS</t>
  </si>
  <si>
    <t>73992/001</t>
  </si>
  <si>
    <t>m3</t>
  </si>
  <si>
    <t>Kg</t>
  </si>
  <si>
    <t>Un.</t>
  </si>
  <si>
    <t>Cabo isolado em PVC 2,5 mm2</t>
  </si>
  <si>
    <t>73960/009</t>
  </si>
  <si>
    <t>73960/010</t>
  </si>
  <si>
    <t>Tubo de PVC soldavel DN 25mm</t>
  </si>
  <si>
    <t>74197/001</t>
  </si>
  <si>
    <t>Fossa séptica em alvenaria de tijolo ceramico maciço dimensões 1,90x1,10x1,40</t>
  </si>
  <si>
    <t>74198/001</t>
  </si>
  <si>
    <t>Sumidouro em alvenaria de tijolo ceramico maciço diâmetro 1,20 altura 5 metros</t>
  </si>
  <si>
    <t>Revestimento cerâmico para paredes internas com placas tipo grês 20x20</t>
  </si>
  <si>
    <t>PAVIMENTAÇÃO</t>
  </si>
  <si>
    <t>73907/003</t>
  </si>
  <si>
    <t>Contrapiso de concreto espessura 5cm preparo com betoneira</t>
  </si>
  <si>
    <t>Piso em granilite, 8mm incluso juntas de dilatação plástica</t>
  </si>
  <si>
    <t xml:space="preserve">m2 </t>
  </si>
  <si>
    <t>73892/001</t>
  </si>
  <si>
    <t xml:space="preserve">Execução de calçada em concreto, espessura 7 cm </t>
  </si>
  <si>
    <t>Locação de obra</t>
  </si>
  <si>
    <t>Aterro interno compactado manualmente</t>
  </si>
  <si>
    <t>2.1</t>
  </si>
  <si>
    <t>3.1</t>
  </si>
  <si>
    <t>3.2</t>
  </si>
  <si>
    <t>3.3</t>
  </si>
  <si>
    <t>4.1</t>
  </si>
  <si>
    <t>4.2</t>
  </si>
  <si>
    <t>4.3</t>
  </si>
  <si>
    <t>4.4</t>
  </si>
  <si>
    <t>5.1</t>
  </si>
  <si>
    <t>73822/002</t>
  </si>
  <si>
    <t>Limpeza de terreno com remoção de camada vegetal</t>
  </si>
  <si>
    <t>Regularização e compactação manual de terreno com soquete</t>
  </si>
  <si>
    <t>Cabo isolado em PVC 4 mm2</t>
  </si>
  <si>
    <t>Cabo isolado em PVC 6 mm2</t>
  </si>
  <si>
    <t>73942/002</t>
  </si>
  <si>
    <t>Armação de aço CA-60 diâmetro 3,4 a 6,0mm - Fornecimento, corte, dobra e colocação</t>
  </si>
  <si>
    <t>Armação de aço CA-50 diâmetro 6,3 a 12,5mm - Fornecimento, corte, dobra e colocação</t>
  </si>
  <si>
    <t>Concreto estrutural fck=25 mpa, virado em betoneira, na obra, sem lançamento</t>
  </si>
  <si>
    <t>73765/001</t>
  </si>
  <si>
    <t>Pavimentação em paralelepipedo sobre colchão de pó de pedra espessura 10cm, rejuntado com argamassa de cimento e areia traço 1:3 (cimento e areia)</t>
  </si>
  <si>
    <t>SECID</t>
  </si>
  <si>
    <t>PAREDES E DIVISÓRIAS</t>
  </si>
  <si>
    <t>74209/001</t>
  </si>
  <si>
    <t>Placa de obra em chapa de aço galvanizado</t>
  </si>
  <si>
    <t>Impermeabilizacao com tinta betuminosa em fundacoes, baldrames e muros de arrimo, duas demaos</t>
  </si>
  <si>
    <t>74200/001</t>
  </si>
  <si>
    <t>Divisória em granito cinza andorinha</t>
  </si>
  <si>
    <t>Joelho 90 graus, PVC DN 60mm</t>
  </si>
  <si>
    <t>Joelho 45 graus, PVC DN 60mm</t>
  </si>
  <si>
    <t>Te PVC soldável DN 25mm</t>
  </si>
  <si>
    <t>Tubo de PVC soldável DN 32mm</t>
  </si>
  <si>
    <t>Tubo de PVC soldável DN 60mm</t>
  </si>
  <si>
    <t>Te PVC soldável DN 60mm</t>
  </si>
  <si>
    <t>Registro de gaveta com canopla cromada 25mm</t>
  </si>
  <si>
    <t>Registro de gaveta com canopla cromada 32mm</t>
  </si>
  <si>
    <t>73797/001</t>
  </si>
  <si>
    <t>74180/001</t>
  </si>
  <si>
    <t>Registro de gaveta com canopla cromada 60mm</t>
  </si>
  <si>
    <t>Tubo PVC para esgoto DN 40mm</t>
  </si>
  <si>
    <t>Tubo PVC para esgoto DN 100mm</t>
  </si>
  <si>
    <t>Joelho 45 graus para esgoto DN 40mm</t>
  </si>
  <si>
    <t>Chuveiro elétrico</t>
  </si>
  <si>
    <t>Hidrômetro 5,00m3/h, D = 3/4"</t>
  </si>
  <si>
    <t>74217/002</t>
  </si>
  <si>
    <t>Torneira de bóia para caixa d'água</t>
  </si>
  <si>
    <t>74058/003</t>
  </si>
  <si>
    <t>Caixa sifonada PVC 100x100x50mm</t>
  </si>
  <si>
    <t>74104/001</t>
  </si>
  <si>
    <t>Caixa de inspeção em alvenaria de tijolo maciço 60x60x60 revestida internamente com barra lisa</t>
  </si>
  <si>
    <t>Papeleira de parede em metal cromado</t>
  </si>
  <si>
    <t>CO1080</t>
  </si>
  <si>
    <t>CO1081</t>
  </si>
  <si>
    <t>Barra de apoio para PNE largura 80 cm</t>
  </si>
  <si>
    <t>Barra de apoio para PNE largura 90 cm</t>
  </si>
  <si>
    <t>Cabo isolado em PVC 1,5 mm2</t>
  </si>
  <si>
    <t>73860/007</t>
  </si>
  <si>
    <t>Caixa de passagem 4x2"</t>
  </si>
  <si>
    <t>Caixa de passagem 3" octogonal</t>
  </si>
  <si>
    <t>Eletroduto de PVC flexível 1"</t>
  </si>
  <si>
    <t>Espelho plástico 4x2"</t>
  </si>
  <si>
    <t>Interruptor simples 1 tecla</t>
  </si>
  <si>
    <t>Tomada de embutir 2P+T 10A</t>
  </si>
  <si>
    <t>Tomada de embutir 2P+T 20A</t>
  </si>
  <si>
    <t>Luminária de embutir incândescente 100W</t>
  </si>
  <si>
    <t>74041/002</t>
  </si>
  <si>
    <t>Disjuntor monopolar de 10 a 30A</t>
  </si>
  <si>
    <t>Disjuntor bipolar de 10 a 50A</t>
  </si>
  <si>
    <t>Joelho 90 graus com bucha de latão</t>
  </si>
  <si>
    <t>Lavatório louça branca com coluna</t>
  </si>
  <si>
    <t>CRONOGRAMA FÍSICO FINANCEIRO</t>
  </si>
  <si>
    <t>ETAPA</t>
  </si>
  <si>
    <t>30 DIAS</t>
  </si>
  <si>
    <t>%</t>
  </si>
  <si>
    <t>60 DIAS</t>
  </si>
  <si>
    <t>90 DIAS</t>
  </si>
  <si>
    <t>VALOR TOTAL</t>
  </si>
  <si>
    <t>VALOR ACUMULADO</t>
  </si>
  <si>
    <t>73774/001</t>
  </si>
  <si>
    <t>74074/004</t>
  </si>
  <si>
    <t>Forma tabua para concreto em fundação s/ reaproveitamento</t>
  </si>
  <si>
    <t>DATA: 08/2015</t>
  </si>
  <si>
    <t>Barracão de obra</t>
  </si>
  <si>
    <t>73805/001</t>
  </si>
  <si>
    <t>Revestimento cerâmico para piso com placas tipo grês de dimensões 35x35</t>
  </si>
  <si>
    <t>Lastro de concreto não-estrutural, e = 5 cm, preparo com betoneira</t>
  </si>
  <si>
    <t>Reaterro compactado manualmente</t>
  </si>
  <si>
    <t>73734/001</t>
  </si>
  <si>
    <t>Piso em taco de madeira 7x21 cm, assentado com argamassa traço 1:4 (cimento e areia média)</t>
  </si>
  <si>
    <t>Alvenaria em tijolo cerâmico maciço 5x10x20cm, 1/2 vez (espessura 10 cm)</t>
  </si>
  <si>
    <t>73978/001</t>
  </si>
  <si>
    <t>Pintura hidrofugante com silicone sobre superfície de tijolo à vista</t>
  </si>
  <si>
    <t>Verga e Contra-Verga 10x10 cm em concreto pré-moldado Fck=20MPa (preparo com betoneira) aço CA60, bitola fina, inclusive formas</t>
  </si>
  <si>
    <t>Forro de madeira com tábuas fixadas em sarrafos de 2x10cm</t>
  </si>
  <si>
    <t>Porta de abrir, em alumínio tipo veneziana, com guarnição</t>
  </si>
  <si>
    <t>Porta de madeira compensada lisa, 90x210x3,5 cm incluso ferragens</t>
  </si>
  <si>
    <t>Porta de madeira compensada lisa, 70x210x3,5 cm incluso ferragens</t>
  </si>
  <si>
    <t>Porta de madeira, de correr, incluso trilho e rodizios</t>
  </si>
  <si>
    <t>73910/007</t>
  </si>
  <si>
    <t>73910/004</t>
  </si>
  <si>
    <t xml:space="preserve"> TABELA SINAPI JUNHO 2015 E SECID FEVEREIRO 2014 DESONERADOS</t>
  </si>
  <si>
    <t>Porta-Janela de correr, em aluminio e vidro, incluso guarnição e vidro liso incolor</t>
  </si>
  <si>
    <t>Porta-Janela de correr, de madeira, com aduela e alizar de 1a, trilhos e rodizios</t>
  </si>
  <si>
    <t>84844+84892+72118</t>
  </si>
  <si>
    <t>Janela de madeira tipo guilhotina dimensões 2,00x2,10m, incluso vidro liso temperado 6mm, guarnições, levantador de latão fundido cromado e borboleta em ferro cromado</t>
  </si>
  <si>
    <t>73809/001</t>
  </si>
  <si>
    <t>Janela de aluminio tipo maxim ar, incluso guarnições e vidro</t>
  </si>
  <si>
    <t>Imunização de madeiramento para cobertura utilizando cupinicida incolor</t>
  </si>
  <si>
    <t>73939/014</t>
  </si>
  <si>
    <t>Tesoura completa aparelhada para telhados com vão de 10m</t>
  </si>
  <si>
    <t>73931/003</t>
  </si>
  <si>
    <t>Estrutura em madeira aparelhada, para telha cerâmica</t>
  </si>
  <si>
    <t>73938/002</t>
  </si>
  <si>
    <t>Cobertura em telha cerâmica tipo plan</t>
  </si>
  <si>
    <t>Plantio de árvore regional, altura maior que 2m, em cavas de 80x80x80cm</t>
  </si>
  <si>
    <t>Plantio de grama batatais em placas</t>
  </si>
  <si>
    <t>73967/002</t>
  </si>
  <si>
    <t>74236/001</t>
  </si>
  <si>
    <t>Terra Vegetal (camada de 10 cm sob a grama)</t>
  </si>
  <si>
    <t>Plantio de arbusto com altura entre 50 e 100 cm</t>
  </si>
  <si>
    <t>Caixa d'água em polietileno 1500 litros, com tampa</t>
  </si>
  <si>
    <t>Tubo de PVC soldável DN 50mm</t>
  </si>
  <si>
    <t>Vaso sanitário sifonado com caixa acoplada louça branca - padrão médio</t>
  </si>
  <si>
    <t>CP0459</t>
  </si>
  <si>
    <t>Luminária fluorescente completa para emergência de 15W</t>
  </si>
  <si>
    <t>Custo por m2:</t>
  </si>
  <si>
    <t>Área construida:</t>
  </si>
  <si>
    <t>Custo Total (com BDI):</t>
  </si>
  <si>
    <t>74131/005</t>
  </si>
  <si>
    <t>Quadro de distribuição de energia de embutir, para 24 disjuntores, com barramento trifásico e neutro</t>
  </si>
  <si>
    <t>Interruptor simples 2 teclas</t>
  </si>
  <si>
    <t>Plafonier lampada 100W</t>
  </si>
  <si>
    <t>73953/007</t>
  </si>
  <si>
    <t>Luminária tipo calha, de sobrepor, com reator de partida rapida e lampada fluorescente 3x40W, completa, fornecimento e instalação</t>
  </si>
  <si>
    <t>Lampada fluorescente 40W, fornecimento e instalação</t>
  </si>
  <si>
    <t>PROPRIETÁRIO: PREFEITURA MUNICIPAL DE PARANAÍTA</t>
  </si>
  <si>
    <t>LOCAL: PARANAÍTA</t>
  </si>
  <si>
    <t>150 DIAS</t>
  </si>
  <si>
    <t>120 DIAS</t>
  </si>
  <si>
    <t>Terminal de pressão 50mm</t>
  </si>
  <si>
    <t>Custo Local</t>
  </si>
  <si>
    <t>Caixa de equipotencialização 8 terminais</t>
  </si>
  <si>
    <t>Cabo de cobre nu 50mm2</t>
  </si>
  <si>
    <t>IP0571</t>
  </si>
  <si>
    <t xml:space="preserve">Caixa de inspeção em PVC 300mm, para passeio e sujeito a cargas pesadas </t>
  </si>
  <si>
    <t>Haste de aterramento 5/8" 2,4m</t>
  </si>
  <si>
    <t>IM1093</t>
  </si>
  <si>
    <t>Tampa articulada em ferro fundido com inscrição 'ATERRAMENTO' 30cm</t>
  </si>
  <si>
    <t>Para-raios tipo Franklin</t>
  </si>
  <si>
    <t>Terminal de compressão cobre estanhado 50mm2</t>
  </si>
  <si>
    <t xml:space="preserve">Escavação e carga de material de 1a categoria </t>
  </si>
  <si>
    <t>SPDA</t>
  </si>
  <si>
    <t>Guia de cabos simples</t>
  </si>
  <si>
    <t>Guias de cabos vertical</t>
  </si>
  <si>
    <t>CP0092</t>
  </si>
  <si>
    <t>Caixa alumínio 4"x2"</t>
  </si>
  <si>
    <t>CP0441</t>
  </si>
  <si>
    <t>CP0153</t>
  </si>
  <si>
    <t>Placa 4x2" c/ 1 tampa unha - polida- latão</t>
  </si>
  <si>
    <t>Eletroduto PVC flexivel 1"</t>
  </si>
  <si>
    <t>Bloco terminal BLI-10</t>
  </si>
  <si>
    <t>Canaleta de montagem módulo BLI-10</t>
  </si>
  <si>
    <t>CM0056</t>
  </si>
  <si>
    <t>Caixa subterrânea p/ telefonia R1 (C=60, L=35, A=50)cm</t>
  </si>
  <si>
    <t>CABEAMENTO ESTRUTURADO E TELEFONIA</t>
  </si>
  <si>
    <t>Cabo de cobre nu 95mm2</t>
  </si>
  <si>
    <t>Eletroduto de PVC rigido, DN = 40mm (1 1/2''), inclusive conexoes</t>
  </si>
  <si>
    <t>Mastro simples de ferro galvanizado p para-raios h=3m, incluindo a base - fornecimento e instalacao</t>
  </si>
  <si>
    <t>Cabo UTP -6 (24 AWG)</t>
  </si>
  <si>
    <t>Eletroduto PVC pesado 2''</t>
  </si>
  <si>
    <t>Caixa PVC 4x4"</t>
  </si>
  <si>
    <t xml:space="preserve">Quadro de distribuicao para telefonia n. 3, 40x40x12 em chaa metalica de embutir </t>
  </si>
  <si>
    <t>Extintor de incendio de CO2 6kg - fornecimento e instalacao</t>
  </si>
  <si>
    <t>73775/002</t>
  </si>
  <si>
    <t>Extintor de incendio de agua pressurizada inclusive suporte parede 10 litros</t>
  </si>
  <si>
    <t>CONSTRUCAO CENTRO DE CULTURA</t>
  </si>
  <si>
    <t>Espelho cristal, espessura 4mm, com parafusos de fixacao, sem moldura</t>
  </si>
  <si>
    <t xml:space="preserve">Bancada de granito cinza polido para lavatorio </t>
  </si>
  <si>
    <t>SETPU</t>
  </si>
  <si>
    <t>4 S 06 202 01</t>
  </si>
  <si>
    <t>Confeccao de placa sinalizacao - 2 placas banheiro, placa PNE, e 10 placas direcionando para saidas</t>
  </si>
  <si>
    <t>Peitoril em marmore, largura 15 cm, argamassa traco 1:4</t>
  </si>
  <si>
    <t>Porta-Janela, em veneziana metalica, 3 folhas de correr, incluso trilho quadrado 1/4'' para rodizios</t>
  </si>
  <si>
    <t>74071/002 + 84897</t>
  </si>
  <si>
    <t>Porta de vidro temperado, 150x210cm, espessura 10mm, inclusive acessorios</t>
  </si>
  <si>
    <t>73838/001</t>
  </si>
  <si>
    <t>9,4</t>
  </si>
  <si>
    <t>740661/005</t>
  </si>
  <si>
    <t>Tubo de cobre classe ''E'' 42mm, para pre-instalacao de ar-condicionado tipo split - fornecimento e instalacao</t>
  </si>
  <si>
    <t>MERCADO</t>
  </si>
  <si>
    <t>Revestimento de parede em material termoacustico - auditório</t>
  </si>
  <si>
    <t>Revestimento de teto em placas de fibra mineral  termoacustica - forro auditório</t>
  </si>
  <si>
    <t>HIDRELÉTRICA TELES PIRES</t>
  </si>
  <si>
    <t>OBRA: CONSTRUÇÃO DA CASA DE CULTURA E MEMÓRIA EM PARANAITA - MT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</si>
</sst>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#,##0.00;[Red]#,##0.00"/>
    <numFmt numFmtId="179" formatCode="00"/>
    <numFmt numFmtId="180" formatCode="#,##0;[Red]#,##0"/>
    <numFmt numFmtId="181" formatCode="_(* #,##0.00_);_(* \(#,##0.00\);_(* \-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#,##0.0;[Red]#,##0.0"/>
    <numFmt numFmtId="187" formatCode="0.0000"/>
    <numFmt numFmtId="188" formatCode="[$-416]dddd\,\ d&quot; de &quot;mmmm&quot; de &quot;yyyy"/>
    <numFmt numFmtId="189" formatCode="_(* #,##0.0_);_(* \(#,##0.0\);_(* &quot;-&quot;??_);_(@_)"/>
    <numFmt numFmtId="190" formatCode="_(* #,##0_);_(* \(#,##0\);_(* &quot;-&quot;??_);_(@_)"/>
    <numFmt numFmtId="191" formatCode="mmm/yyyy"/>
    <numFmt numFmtId="192" formatCode="dd\-mmm\-yy"/>
    <numFmt numFmtId="193" formatCode="_ * #,##0.00_ ;_ * \-#,##0.00_ ;_ * &quot;-&quot;??_ ;_ @_ "/>
    <numFmt numFmtId="194" formatCode="&quot;R$&quot;#,##0.00_);[Red]\(&quot;R$&quot;#,##0.00\)"/>
    <numFmt numFmtId="195" formatCode="dd/mm/yy;@"/>
    <numFmt numFmtId="196" formatCode="0.0%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0.0"/>
    <numFmt numFmtId="202" formatCode="#,##0.0000"/>
    <numFmt numFmtId="203" formatCode="0.00;[Red]0.00"/>
    <numFmt numFmtId="204" formatCode="00000"/>
    <numFmt numFmtId="205" formatCode="#,##0.00000"/>
    <numFmt numFmtId="206" formatCode="#,##0.000"/>
    <numFmt numFmtId="207" formatCode="#,##0.0"/>
    <numFmt numFmtId="208" formatCode="#,##0.000000"/>
    <numFmt numFmtId="209" formatCode="_(* #,##0.0000000_);_(* \(#,##0.0000000\);_(* &quot;-&quot;??_);_(@_)"/>
    <numFmt numFmtId="210" formatCode="#,##0.0000000"/>
    <numFmt numFmtId="211" formatCode="#,##0.00000000"/>
    <numFmt numFmtId="212" formatCode="#,##0.000000000"/>
    <numFmt numFmtId="213" formatCode="#,##0.0000000000"/>
    <numFmt numFmtId="214" formatCode="#,##0.00000000000"/>
    <numFmt numFmtId="215" formatCode="#,##0.000000000000"/>
    <numFmt numFmtId="216" formatCode="0.00_);\(0.00\)"/>
    <numFmt numFmtId="217" formatCode="[$-409]dddd\,\ mmmm\ d\,\ yyyy"/>
    <numFmt numFmtId="218" formatCode="0.000"/>
    <numFmt numFmtId="219" formatCode="0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34"/>
      <name val="Arial"/>
      <family val="2"/>
    </font>
    <font>
      <b/>
      <sz val="10"/>
      <color indexed="9"/>
      <name val="Arial"/>
      <family val="2"/>
    </font>
    <font>
      <sz val="10"/>
      <color indexed="34"/>
      <name val="Arial"/>
      <family val="2"/>
    </font>
    <font>
      <sz val="10"/>
      <color indexed="32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b/>
      <sz val="10"/>
      <color indexed="2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32"/>
      <name val="Cambria"/>
      <family val="1"/>
    </font>
    <font>
      <b/>
      <sz val="15"/>
      <color indexed="32"/>
      <name val="Arial"/>
      <family val="2"/>
    </font>
    <font>
      <b/>
      <sz val="13"/>
      <color indexed="32"/>
      <name val="Arial"/>
      <family val="2"/>
    </font>
    <font>
      <b/>
      <sz val="11"/>
      <color indexed="3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3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32"/>
      </bottom>
    </border>
    <border>
      <left/>
      <right/>
      <top/>
      <bottom style="thick">
        <color indexed="22"/>
      </bottom>
    </border>
    <border>
      <left/>
      <right/>
      <top style="thin">
        <color indexed="32"/>
      </top>
      <bottom style="double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Font="0" applyFill="0" applyProtection="0">
      <alignment/>
    </xf>
    <xf numFmtId="0" fontId="0" fillId="3" borderId="0" applyNumberFormat="0" applyFont="0" applyFill="0" applyProtection="0">
      <alignment/>
    </xf>
    <xf numFmtId="0" fontId="0" fillId="4" borderId="0" applyNumberFormat="0" applyFont="0" applyFill="0" applyProtection="0">
      <alignment/>
    </xf>
    <xf numFmtId="0" fontId="0" fillId="2" borderId="0" applyNumberFormat="0" applyFont="0" applyFill="0" applyProtection="0">
      <alignment/>
    </xf>
    <xf numFmtId="0" fontId="0" fillId="4" borderId="0" applyNumberFormat="0" applyFont="0" applyFill="0" applyProtection="0">
      <alignment/>
    </xf>
    <xf numFmtId="0" fontId="0" fillId="3" borderId="0" applyNumberFormat="0" applyFont="0" applyFill="0" applyProtection="0">
      <alignment/>
    </xf>
    <xf numFmtId="0" fontId="0" fillId="2" borderId="0" applyNumberFormat="0" applyFont="0" applyFill="0" applyProtection="0">
      <alignment/>
    </xf>
    <xf numFmtId="0" fontId="0" fillId="5" borderId="0" applyNumberFormat="0" applyFont="0" applyFill="0" applyProtection="0">
      <alignment/>
    </xf>
    <xf numFmtId="0" fontId="0" fillId="6" borderId="0" applyNumberFormat="0" applyFont="0" applyFill="0" applyProtection="0">
      <alignment/>
    </xf>
    <xf numFmtId="0" fontId="0" fillId="2" borderId="0" applyNumberFormat="0" applyFont="0" applyFill="0" applyProtection="0">
      <alignment/>
    </xf>
    <xf numFmtId="0" fontId="0" fillId="2" borderId="0" applyNumberFormat="0" applyFont="0" applyFill="0" applyProtection="0">
      <alignment/>
    </xf>
    <xf numFmtId="0" fontId="0" fillId="7" borderId="0" applyNumberFormat="0" applyFont="0" applyFill="0" applyProtection="0">
      <alignment/>
    </xf>
    <xf numFmtId="0" fontId="2" fillId="8" borderId="0" applyNumberFormat="0" applyFont="0" applyFill="0" applyProtection="0">
      <alignment/>
    </xf>
    <xf numFmtId="0" fontId="2" fillId="5" borderId="0" applyNumberFormat="0" applyFont="0" applyFill="0" applyProtection="0">
      <alignment/>
    </xf>
    <xf numFmtId="0" fontId="2" fillId="6" borderId="0" applyNumberFormat="0" applyFont="0" applyFill="0" applyProtection="0">
      <alignment/>
    </xf>
    <xf numFmtId="0" fontId="2" fillId="9" borderId="0" applyNumberFormat="0" applyFont="0" applyFill="0" applyProtection="0">
      <alignment/>
    </xf>
    <xf numFmtId="0" fontId="2" fillId="10" borderId="0" applyNumberFormat="0" applyFont="0" applyFill="0" applyProtection="0">
      <alignment/>
    </xf>
    <xf numFmtId="0" fontId="2" fillId="7" borderId="0" applyNumberFormat="0" applyFont="0" applyFill="0" applyProtection="0">
      <alignment/>
    </xf>
    <xf numFmtId="0" fontId="3" fillId="4" borderId="0" applyNumberFormat="0" applyFont="0" applyFill="0" applyProtection="0">
      <alignment/>
    </xf>
    <xf numFmtId="0" fontId="4" fillId="11" borderId="1" applyNumberFormat="0" applyFont="0" applyProtection="0">
      <alignment/>
    </xf>
    <xf numFmtId="0" fontId="5" fillId="12" borderId="2" applyNumberFormat="0" applyFont="0" applyProtection="0">
      <alignment/>
    </xf>
    <xf numFmtId="0" fontId="6" fillId="0" borderId="3" applyNumberFormat="0" applyFont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13" borderId="0" applyNumberFormat="0" applyFont="0" applyFill="0" applyProtection="0">
      <alignment/>
    </xf>
    <xf numFmtId="0" fontId="2" fillId="14" borderId="0" applyNumberFormat="0" applyFont="0" applyFill="0" applyProtection="0">
      <alignment/>
    </xf>
    <xf numFmtId="0" fontId="2" fillId="15" borderId="0" applyNumberFormat="0" applyFont="0" applyFill="0" applyProtection="0">
      <alignment/>
    </xf>
    <xf numFmtId="0" fontId="2" fillId="9" borderId="0" applyNumberFormat="0" applyFont="0" applyFill="0" applyProtection="0">
      <alignment/>
    </xf>
    <xf numFmtId="0" fontId="2" fillId="10" borderId="0" applyNumberFormat="0" applyFont="0" applyFill="0" applyProtection="0">
      <alignment/>
    </xf>
    <xf numFmtId="0" fontId="2" fillId="16" borderId="0" applyNumberFormat="0" applyFont="0" applyFill="0" applyProtection="0">
      <alignment/>
    </xf>
    <xf numFmtId="0" fontId="7" fillId="3" borderId="1" applyNumberFormat="0" applyFont="0" applyProtection="0">
      <alignment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3" borderId="0" applyNumberFormat="0" applyFont="0" applyFill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7" borderId="0" applyNumberFormat="0" applyFont="0" applyFill="0" applyProtection="0">
      <alignment/>
    </xf>
    <xf numFmtId="0" fontId="0" fillId="0" borderId="0">
      <alignment/>
      <protection/>
    </xf>
    <xf numFmtId="0" fontId="0" fillId="17" borderId="4" applyNumberFormat="0" applyFont="0" applyBorder="0" applyProtection="0">
      <alignment/>
    </xf>
    <xf numFmtId="9" fontId="0" fillId="0" borderId="0" applyFont="0" applyFill="0" applyBorder="0" applyAlignment="0" applyProtection="0"/>
    <xf numFmtId="0" fontId="10" fillId="11" borderId="5" applyNumberFormat="0" applyFont="0" applyProtection="0">
      <alignment/>
    </xf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14" fillId="0" borderId="6" applyNumberFormat="0" applyFont="0" applyAlignment="0" applyProtection="0"/>
    <xf numFmtId="0" fontId="15" fillId="0" borderId="7" applyNumberFormat="0" applyFont="0" applyAlignment="0" applyProtection="0"/>
    <xf numFmtId="0" fontId="16" fillId="0" borderId="6" applyNumberFormat="0" applyFont="0" applyAlignment="0" applyProtection="0"/>
    <xf numFmtId="0" fontId="16" fillId="0" borderId="0" applyNumberFormat="0" applyFont="0" applyFill="0" applyAlignment="0" applyProtection="0"/>
    <xf numFmtId="0" fontId="17" fillId="0" borderId="8" applyNumberFormat="0" applyFont="0" applyAlignment="0" applyProtection="0"/>
    <xf numFmtId="171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71" fontId="18" fillId="0" borderId="0" xfId="66" applyFont="1" applyFill="1" applyBorder="1" applyAlignment="1">
      <alignment vertical="center" wrapText="1"/>
    </xf>
    <xf numFmtId="171" fontId="23" fillId="0" borderId="0" xfId="66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1" fontId="19" fillId="0" borderId="0" xfId="66" applyFont="1" applyFill="1" applyBorder="1" applyAlignment="1">
      <alignment vertical="center"/>
    </xf>
    <xf numFmtId="171" fontId="19" fillId="0" borderId="0" xfId="66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71" fontId="18" fillId="0" borderId="0" xfId="66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178" fontId="19" fillId="0" borderId="9" xfId="0" applyNumberFormat="1" applyFont="1" applyFill="1" applyBorder="1" applyAlignment="1">
      <alignment horizontal="center" vertical="center"/>
    </xf>
    <xf numFmtId="4" fontId="19" fillId="0" borderId="9" xfId="66" applyNumberFormat="1" applyFont="1" applyFill="1" applyBorder="1" applyAlignment="1">
      <alignment horizontal="right" vertical="center"/>
    </xf>
    <xf numFmtId="0" fontId="18" fillId="18" borderId="10" xfId="0" applyNumberFormat="1" applyFont="1" applyFill="1" applyBorder="1" applyAlignment="1">
      <alignment vertical="center" wrapText="1"/>
    </xf>
    <xf numFmtId="0" fontId="18" fillId="18" borderId="10" xfId="0" applyFont="1" applyFill="1" applyBorder="1" applyAlignment="1">
      <alignment vertical="center"/>
    </xf>
    <xf numFmtId="4" fontId="18" fillId="18" borderId="10" xfId="0" applyNumberFormat="1" applyFont="1" applyFill="1" applyBorder="1" applyAlignment="1">
      <alignment vertical="center"/>
    </xf>
    <xf numFmtId="0" fontId="19" fillId="0" borderId="9" xfId="0" applyFont="1" applyFill="1" applyBorder="1" applyAlignment="1">
      <alignment vertical="center" wrapText="1"/>
    </xf>
    <xf numFmtId="4" fontId="19" fillId="0" borderId="0" xfId="0" applyNumberFormat="1" applyFont="1" applyFill="1" applyAlignment="1">
      <alignment vertical="center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" fontId="19" fillId="0" borderId="0" xfId="66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 wrapText="1"/>
    </xf>
    <xf numFmtId="16" fontId="19" fillId="0" borderId="0" xfId="0" applyNumberFormat="1" applyFont="1" applyFill="1" applyAlignment="1">
      <alignment horizontal="left" vertical="center" wrapText="1"/>
    </xf>
    <xf numFmtId="0" fontId="19" fillId="19" borderId="0" xfId="0" applyFont="1" applyFill="1" applyAlignment="1">
      <alignment vertical="center"/>
    </xf>
    <xf numFmtId="2" fontId="19" fillId="0" borderId="9" xfId="0" applyNumberFormat="1" applyFont="1" applyFill="1" applyBorder="1" applyAlignment="1">
      <alignment horizontal="right" vertical="center"/>
    </xf>
    <xf numFmtId="2" fontId="19" fillId="0" borderId="9" xfId="0" applyNumberFormat="1" applyFont="1" applyFill="1" applyBorder="1" applyAlignment="1">
      <alignment horizontal="right" vertical="center" wrapText="1"/>
    </xf>
    <xf numFmtId="0" fontId="18" fillId="20" borderId="10" xfId="0" applyFont="1" applyFill="1" applyBorder="1" applyAlignment="1">
      <alignment horizontal="right" vertical="center" wrapText="1"/>
    </xf>
    <xf numFmtId="0" fontId="18" fillId="20" borderId="10" xfId="0" applyFont="1" applyFill="1" applyBorder="1" applyAlignment="1">
      <alignment vertical="center" wrapText="1"/>
    </xf>
    <xf numFmtId="0" fontId="18" fillId="18" borderId="11" xfId="0" applyFont="1" applyFill="1" applyBorder="1" applyAlignment="1">
      <alignment vertical="center"/>
    </xf>
    <xf numFmtId="4" fontId="18" fillId="20" borderId="0" xfId="66" applyNumberFormat="1" applyFont="1" applyFill="1" applyBorder="1" applyAlignment="1">
      <alignment horizontal="right" vertical="center"/>
    </xf>
    <xf numFmtId="0" fontId="19" fillId="0" borderId="9" xfId="0" applyFont="1" applyFill="1" applyBorder="1" applyAlignment="1">
      <alignment vertical="center"/>
    </xf>
    <xf numFmtId="0" fontId="18" fillId="19" borderId="10" xfId="0" applyNumberFormat="1" applyFont="1" applyFill="1" applyBorder="1" applyAlignment="1">
      <alignment horizontal="center" vertical="center" wrapText="1"/>
    </xf>
    <xf numFmtId="179" fontId="18" fillId="19" borderId="10" xfId="0" applyNumberFormat="1" applyFont="1" applyFill="1" applyBorder="1" applyAlignment="1">
      <alignment horizontal="center" vertical="center"/>
    </xf>
    <xf numFmtId="178" fontId="18" fillId="19" borderId="10" xfId="0" applyNumberFormat="1" applyFont="1" applyFill="1" applyBorder="1" applyAlignment="1">
      <alignment vertical="center" wrapText="1"/>
    </xf>
    <xf numFmtId="178" fontId="18" fillId="19" borderId="10" xfId="0" applyNumberFormat="1" applyFont="1" applyFill="1" applyBorder="1" applyAlignment="1">
      <alignment horizontal="center" vertical="center"/>
    </xf>
    <xf numFmtId="4" fontId="18" fillId="19" borderId="10" xfId="66" applyNumberFormat="1" applyFont="1" applyFill="1" applyBorder="1" applyAlignment="1">
      <alignment horizontal="right" vertical="center"/>
    </xf>
    <xf numFmtId="0" fontId="18" fillId="20" borderId="10" xfId="0" applyFont="1" applyFill="1" applyBorder="1" applyAlignment="1">
      <alignment horizontal="center" vertical="center"/>
    </xf>
    <xf numFmtId="178" fontId="18" fillId="20" borderId="10" xfId="0" applyNumberFormat="1" applyFont="1" applyFill="1" applyBorder="1" applyAlignment="1" quotePrefix="1">
      <alignment horizontal="center" vertical="center"/>
    </xf>
    <xf numFmtId="4" fontId="18" fillId="20" borderId="10" xfId="66" applyNumberFormat="1" applyFont="1" applyFill="1" applyBorder="1" applyAlignment="1" quotePrefix="1">
      <alignment horizontal="right" vertical="center"/>
    </xf>
    <xf numFmtId="0" fontId="18" fillId="18" borderId="11" xfId="0" applyNumberFormat="1" applyFont="1" applyFill="1" applyBorder="1" applyAlignment="1">
      <alignment vertical="center" wrapText="1"/>
    </xf>
    <xf numFmtId="4" fontId="18" fillId="18" borderId="11" xfId="0" applyNumberFormat="1" applyFont="1" applyFill="1" applyBorder="1" applyAlignment="1">
      <alignment vertical="center"/>
    </xf>
    <xf numFmtId="178" fontId="18" fillId="20" borderId="10" xfId="0" applyNumberFormat="1" applyFont="1" applyFill="1" applyBorder="1" applyAlignment="1" quotePrefix="1">
      <alignment vertical="center" wrapText="1"/>
    </xf>
    <xf numFmtId="49" fontId="18" fillId="18" borderId="11" xfId="0" applyNumberFormat="1" applyFont="1" applyFill="1" applyBorder="1" applyAlignment="1">
      <alignment vertical="center"/>
    </xf>
    <xf numFmtId="49" fontId="18" fillId="20" borderId="10" xfId="0" applyNumberFormat="1" applyFont="1" applyFill="1" applyBorder="1" applyAlignment="1">
      <alignment horizontal="center" vertical="center"/>
    </xf>
    <xf numFmtId="4" fontId="18" fillId="20" borderId="10" xfId="0" applyNumberFormat="1" applyFont="1" applyFill="1" applyBorder="1" applyAlignment="1">
      <alignment horizontal="right" vertical="center"/>
    </xf>
    <xf numFmtId="0" fontId="18" fillId="19" borderId="11" xfId="0" applyFont="1" applyFill="1" applyBorder="1" applyAlignment="1">
      <alignment vertical="center"/>
    </xf>
    <xf numFmtId="0" fontId="18" fillId="19" borderId="11" xfId="0" applyNumberFormat="1" applyFont="1" applyFill="1" applyBorder="1" applyAlignment="1">
      <alignment vertical="center" wrapText="1"/>
    </xf>
    <xf numFmtId="4" fontId="18" fillId="19" borderId="11" xfId="0" applyNumberFormat="1" applyFont="1" applyFill="1" applyBorder="1" applyAlignment="1">
      <alignment vertical="center"/>
    </xf>
    <xf numFmtId="171" fontId="19" fillId="19" borderId="0" xfId="66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178" fontId="19" fillId="0" borderId="12" xfId="0" applyNumberFormat="1" applyFont="1" applyFill="1" applyBorder="1" applyAlignment="1">
      <alignment horizontal="center" vertical="center"/>
    </xf>
    <xf numFmtId="4" fontId="19" fillId="0" borderId="12" xfId="66" applyNumberFormat="1" applyFont="1" applyFill="1" applyBorder="1" applyAlignment="1">
      <alignment horizontal="right" vertical="center"/>
    </xf>
    <xf numFmtId="4" fontId="19" fillId="0" borderId="9" xfId="0" applyNumberFormat="1" applyFont="1" applyFill="1" applyBorder="1" applyAlignment="1">
      <alignment vertical="center"/>
    </xf>
    <xf numFmtId="4" fontId="19" fillId="0" borderId="9" xfId="0" applyNumberFormat="1" applyFont="1" applyFill="1" applyBorder="1" applyAlignment="1">
      <alignment horizontal="right" vertical="center"/>
    </xf>
    <xf numFmtId="4" fontId="19" fillId="0" borderId="9" xfId="0" applyNumberFormat="1" applyFont="1" applyFill="1" applyBorder="1" applyAlignment="1">
      <alignment horizontal="right" vertical="center" wrapText="1"/>
    </xf>
    <xf numFmtId="0" fontId="19" fillId="0" borderId="9" xfId="0" applyFont="1" applyFill="1" applyBorder="1" applyAlignment="1">
      <alignment/>
    </xf>
    <xf numFmtId="4" fontId="19" fillId="0" borderId="9" xfId="66" applyNumberFormat="1" applyFont="1" applyFill="1" applyBorder="1" applyAlignment="1" quotePrefix="1">
      <alignment horizontal="right" vertical="center"/>
    </xf>
    <xf numFmtId="0" fontId="24" fillId="0" borderId="9" xfId="0" applyFont="1" applyFill="1" applyBorder="1" applyAlignment="1" quotePrefix="1">
      <alignment horizontal="justify" vertical="center" wrapText="1"/>
    </xf>
    <xf numFmtId="0" fontId="19" fillId="0" borderId="12" xfId="0" applyFont="1" applyFill="1" applyBorder="1" applyAlignment="1">
      <alignment/>
    </xf>
    <xf numFmtId="4" fontId="19" fillId="0" borderId="12" xfId="66" applyNumberFormat="1" applyFont="1" applyFill="1" applyBorder="1" applyAlignment="1" quotePrefix="1">
      <alignment horizontal="right" vertical="center"/>
    </xf>
    <xf numFmtId="178" fontId="19" fillId="0" borderId="9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178" fontId="19" fillId="0" borderId="9" xfId="0" applyNumberFormat="1" applyFont="1" applyFill="1" applyBorder="1" applyAlignment="1" quotePrefix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2" fontId="19" fillId="0" borderId="12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/>
    </xf>
    <xf numFmtId="0" fontId="18" fillId="19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wrapText="1"/>
    </xf>
    <xf numFmtId="0" fontId="34" fillId="0" borderId="9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center" vertical="center"/>
    </xf>
    <xf numFmtId="0" fontId="18" fillId="20" borderId="13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4" fontId="19" fillId="0" borderId="16" xfId="66" applyNumberFormat="1" applyFont="1" applyFill="1" applyBorder="1" applyAlignment="1">
      <alignment horizontal="right" vertical="center"/>
    </xf>
    <xf numFmtId="0" fontId="18" fillId="18" borderId="17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/>
    </xf>
    <xf numFmtId="49" fontId="18" fillId="18" borderId="17" xfId="0" applyNumberFormat="1" applyFont="1" applyFill="1" applyBorder="1" applyAlignment="1">
      <alignment vertical="center"/>
    </xf>
    <xf numFmtId="0" fontId="18" fillId="19" borderId="17" xfId="0" applyFont="1" applyFill="1" applyBorder="1" applyAlignment="1">
      <alignment horizontal="center" vertical="center"/>
    </xf>
    <xf numFmtId="1" fontId="18" fillId="20" borderId="13" xfId="0" applyNumberFormat="1" applyFont="1" applyFill="1" applyBorder="1" applyAlignment="1">
      <alignment horizontal="center" vertical="center"/>
    </xf>
    <xf numFmtId="201" fontId="19" fillId="0" borderId="15" xfId="0" applyNumberFormat="1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8" fillId="18" borderId="13" xfId="0" applyFont="1" applyFill="1" applyBorder="1" applyAlignment="1">
      <alignment vertical="center"/>
    </xf>
    <xf numFmtId="0" fontId="18" fillId="2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179" fontId="18" fillId="19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19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6" fillId="21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8" fillId="0" borderId="0" xfId="0" applyFont="1" applyFill="1" applyBorder="1" applyAlignment="1">
      <alignment horizontal="left"/>
    </xf>
    <xf numFmtId="0" fontId="17" fillId="0" borderId="0" xfId="52" applyFont="1" applyBorder="1">
      <alignment/>
      <protection/>
    </xf>
    <xf numFmtId="171" fontId="17" fillId="0" borderId="0" xfId="66" applyFont="1" applyBorder="1" applyAlignment="1">
      <alignment horizontal="center"/>
    </xf>
    <xf numFmtId="171" fontId="17" fillId="0" borderId="0" xfId="66" applyFont="1" applyBorder="1" applyAlignment="1">
      <alignment/>
    </xf>
    <xf numFmtId="177" fontId="17" fillId="0" borderId="0" xfId="49" applyNumberFormat="1" applyFont="1" applyBorder="1" applyAlignment="1">
      <alignment/>
    </xf>
    <xf numFmtId="0" fontId="0" fillId="0" borderId="0" xfId="52" applyBorder="1">
      <alignment/>
      <protection/>
    </xf>
    <xf numFmtId="0" fontId="28" fillId="0" borderId="0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8" fillId="0" borderId="18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171" fontId="31" fillId="21" borderId="16" xfId="66" applyNumberFormat="1" applyFont="1" applyFill="1" applyBorder="1" applyAlignment="1">
      <alignment/>
    </xf>
    <xf numFmtId="0" fontId="17" fillId="21" borderId="20" xfId="0" applyFont="1" applyFill="1" applyBorder="1" applyAlignment="1">
      <alignment wrapText="1"/>
    </xf>
    <xf numFmtId="171" fontId="32" fillId="0" borderId="21" xfId="66" applyFont="1" applyFill="1" applyBorder="1" applyAlignment="1">
      <alignment/>
    </xf>
    <xf numFmtId="0" fontId="33" fillId="0" borderId="22" xfId="0" applyFont="1" applyFill="1" applyBorder="1" applyAlignment="1">
      <alignment/>
    </xf>
    <xf numFmtId="171" fontId="32" fillId="0" borderId="23" xfId="66" applyFont="1" applyFill="1" applyBorder="1" applyAlignment="1">
      <alignment/>
    </xf>
    <xf numFmtId="171" fontId="32" fillId="0" borderId="23" xfId="66" applyNumberFormat="1" applyFont="1" applyFill="1" applyBorder="1" applyAlignment="1">
      <alignment/>
    </xf>
    <xf numFmtId="171" fontId="32" fillId="0" borderId="24" xfId="66" applyNumberFormat="1" applyFont="1" applyFill="1" applyBorder="1" applyAlignment="1">
      <alignment/>
    </xf>
    <xf numFmtId="4" fontId="30" fillId="21" borderId="25" xfId="0" applyNumberFormat="1" applyFont="1" applyFill="1" applyBorder="1" applyAlignment="1">
      <alignment wrapText="1"/>
    </xf>
    <xf numFmtId="4" fontId="30" fillId="21" borderId="13" xfId="0" applyNumberFormat="1" applyFont="1" applyFill="1" applyBorder="1" applyAlignment="1">
      <alignment wrapText="1"/>
    </xf>
    <xf numFmtId="171" fontId="31" fillId="21" borderId="20" xfId="66" applyNumberFormat="1" applyFont="1" applyFill="1" applyBorder="1" applyAlignment="1">
      <alignment/>
    </xf>
    <xf numFmtId="171" fontId="31" fillId="21" borderId="15" xfId="66" applyFont="1" applyFill="1" applyBorder="1" applyAlignment="1">
      <alignment/>
    </xf>
    <xf numFmtId="171" fontId="31" fillId="21" borderId="22" xfId="66" applyNumberFormat="1" applyFont="1" applyFill="1" applyBorder="1" applyAlignment="1">
      <alignment/>
    </xf>
    <xf numFmtId="171" fontId="31" fillId="21" borderId="24" xfId="66" applyNumberFormat="1" applyFont="1" applyFill="1" applyBorder="1" applyAlignment="1">
      <alignment/>
    </xf>
    <xf numFmtId="171" fontId="31" fillId="21" borderId="20" xfId="66" applyFont="1" applyFill="1" applyBorder="1" applyAlignment="1">
      <alignment/>
    </xf>
    <xf numFmtId="171" fontId="31" fillId="21" borderId="22" xfId="66" applyFont="1" applyFill="1" applyBorder="1" applyAlignment="1">
      <alignment/>
    </xf>
    <xf numFmtId="171" fontId="31" fillId="21" borderId="14" xfId="66" applyNumberFormat="1" applyFont="1" applyFill="1" applyBorder="1" applyAlignment="1">
      <alignment/>
    </xf>
    <xf numFmtId="171" fontId="31" fillId="21" borderId="16" xfId="66" applyFont="1" applyFill="1" applyBorder="1" applyAlignment="1">
      <alignment/>
    </xf>
    <xf numFmtId="171" fontId="31" fillId="21" borderId="24" xfId="66" applyFont="1" applyFill="1" applyBorder="1" applyAlignment="1">
      <alignment/>
    </xf>
    <xf numFmtId="4" fontId="17" fillId="21" borderId="26" xfId="0" applyNumberFormat="1" applyFont="1" applyFill="1" applyBorder="1" applyAlignment="1">
      <alignment vertical="center" wrapText="1"/>
    </xf>
    <xf numFmtId="4" fontId="17" fillId="21" borderId="27" xfId="0" applyNumberFormat="1" applyFont="1" applyFill="1" applyBorder="1" applyAlignment="1">
      <alignment vertical="center" wrapText="1"/>
    </xf>
    <xf numFmtId="0" fontId="28" fillId="0" borderId="28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19" fillId="0" borderId="9" xfId="0" applyNumberFormat="1" applyFont="1" applyFill="1" applyBorder="1" applyAlignment="1">
      <alignment horizontal="center" vertical="center"/>
    </xf>
    <xf numFmtId="179" fontId="19" fillId="0" borderId="9" xfId="0" applyNumberFormat="1" applyFont="1" applyFill="1" applyBorder="1" applyAlignment="1">
      <alignment horizontal="center" vertical="center"/>
    </xf>
    <xf numFmtId="4" fontId="19" fillId="0" borderId="0" xfId="66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171" fontId="19" fillId="0" borderId="0" xfId="0" applyNumberFormat="1" applyFont="1" applyFill="1" applyAlignment="1">
      <alignment vertical="center"/>
    </xf>
    <xf numFmtId="171" fontId="19" fillId="0" borderId="9" xfId="66" applyFont="1" applyFill="1" applyBorder="1" applyAlignment="1" quotePrefix="1">
      <alignment horizontal="right" vertical="center"/>
    </xf>
    <xf numFmtId="171" fontId="18" fillId="19" borderId="10" xfId="66" applyFont="1" applyFill="1" applyBorder="1" applyAlignment="1">
      <alignment horizontal="right" vertical="center"/>
    </xf>
    <xf numFmtId="171" fontId="19" fillId="0" borderId="9" xfId="66" applyFont="1" applyFill="1" applyBorder="1" applyAlignment="1">
      <alignment horizontal="right" vertical="center"/>
    </xf>
    <xf numFmtId="171" fontId="19" fillId="0" borderId="9" xfId="66" applyFont="1" applyFill="1" applyBorder="1" applyAlignment="1">
      <alignment vertical="center"/>
    </xf>
    <xf numFmtId="171" fontId="18" fillId="18" borderId="11" xfId="66" applyFont="1" applyFill="1" applyBorder="1" applyAlignment="1">
      <alignment vertical="center"/>
    </xf>
    <xf numFmtId="171" fontId="18" fillId="20" borderId="10" xfId="66" applyFont="1" applyFill="1" applyBorder="1" applyAlignment="1" quotePrefix="1">
      <alignment horizontal="right" vertical="center"/>
    </xf>
    <xf numFmtId="171" fontId="19" fillId="0" borderId="12" xfId="66" applyFont="1" applyFill="1" applyBorder="1" applyAlignment="1">
      <alignment vertical="center"/>
    </xf>
    <xf numFmtId="171" fontId="18" fillId="19" borderId="11" xfId="66" applyFont="1" applyFill="1" applyBorder="1" applyAlignment="1">
      <alignment vertical="center"/>
    </xf>
    <xf numFmtId="171" fontId="18" fillId="20" borderId="10" xfId="66" applyFont="1" applyFill="1" applyBorder="1" applyAlignment="1">
      <alignment horizontal="right" vertical="center" wrapText="1"/>
    </xf>
    <xf numFmtId="171" fontId="19" fillId="0" borderId="10" xfId="66" applyFont="1" applyFill="1" applyBorder="1" applyAlignment="1">
      <alignment horizontal="right" vertical="center" wrapText="1"/>
    </xf>
    <xf numFmtId="171" fontId="18" fillId="18" borderId="10" xfId="66" applyFont="1" applyFill="1" applyBorder="1" applyAlignment="1">
      <alignment vertical="center"/>
    </xf>
    <xf numFmtId="171" fontId="19" fillId="0" borderId="12" xfId="66" applyFont="1" applyFill="1" applyBorder="1" applyAlignment="1">
      <alignment horizontal="right" vertical="center" wrapText="1"/>
    </xf>
    <xf numFmtId="171" fontId="19" fillId="0" borderId="9" xfId="66" applyFont="1" applyFill="1" applyBorder="1" applyAlignment="1">
      <alignment horizontal="right" vertical="center" wrapText="1"/>
    </xf>
    <xf numFmtId="171" fontId="19" fillId="0" borderId="30" xfId="66" applyFont="1" applyFill="1" applyBorder="1" applyAlignment="1">
      <alignment horizontal="right" vertical="center" wrapText="1"/>
    </xf>
    <xf numFmtId="171" fontId="19" fillId="0" borderId="0" xfId="66" applyFont="1" applyFill="1" applyAlignment="1">
      <alignment horizontal="right" vertical="center"/>
    </xf>
    <xf numFmtId="171" fontId="18" fillId="0" borderId="0" xfId="66" applyFont="1" applyFill="1" applyBorder="1" applyAlignment="1">
      <alignment horizontal="right" vertical="center"/>
    </xf>
    <xf numFmtId="171" fontId="18" fillId="20" borderId="9" xfId="66" applyFont="1" applyFill="1" applyBorder="1" applyAlignment="1">
      <alignment horizontal="right" vertical="center" wrapText="1"/>
    </xf>
    <xf numFmtId="171" fontId="19" fillId="0" borderId="12" xfId="66" applyFont="1" applyFill="1" applyBorder="1" applyAlignment="1">
      <alignment horizontal="right" vertical="center"/>
    </xf>
    <xf numFmtId="171" fontId="18" fillId="20" borderId="31" xfId="66" applyFont="1" applyFill="1" applyBorder="1" applyAlignment="1">
      <alignment horizontal="right" vertical="center" wrapText="1"/>
    </xf>
    <xf numFmtId="171" fontId="19" fillId="0" borderId="31" xfId="66" applyFont="1" applyFill="1" applyBorder="1" applyAlignment="1">
      <alignment horizontal="right" vertical="center" wrapText="1"/>
    </xf>
    <xf numFmtId="171" fontId="18" fillId="20" borderId="9" xfId="66" applyFont="1" applyFill="1" applyBorder="1" applyAlignment="1" quotePrefix="1">
      <alignment horizontal="right" vertical="center"/>
    </xf>
    <xf numFmtId="171" fontId="19" fillId="19" borderId="10" xfId="66" applyFont="1" applyFill="1" applyBorder="1" applyAlignment="1">
      <alignment horizontal="right" vertical="center"/>
    </xf>
    <xf numFmtId="171" fontId="19" fillId="19" borderId="9" xfId="66" applyFont="1" applyFill="1" applyBorder="1" applyAlignment="1">
      <alignment horizontal="right" vertical="center"/>
    </xf>
    <xf numFmtId="171" fontId="18" fillId="20" borderId="32" xfId="66" applyFont="1" applyFill="1" applyBorder="1" applyAlignment="1">
      <alignment horizontal="right" vertical="center" wrapText="1"/>
    </xf>
    <xf numFmtId="171" fontId="18" fillId="0" borderId="0" xfId="66" applyFont="1" applyFill="1" applyBorder="1" applyAlignment="1">
      <alignment horizontal="center" vertical="center"/>
    </xf>
    <xf numFmtId="171" fontId="18" fillId="0" borderId="0" xfId="66" applyFont="1" applyFill="1" applyAlignment="1">
      <alignment horizontal="right" vertical="center"/>
    </xf>
    <xf numFmtId="171" fontId="18" fillId="19" borderId="33" xfId="66" applyFont="1" applyFill="1" applyBorder="1" applyAlignment="1">
      <alignment horizontal="right" vertical="center"/>
    </xf>
    <xf numFmtId="171" fontId="19" fillId="0" borderId="16" xfId="66" applyFont="1" applyFill="1" applyBorder="1" applyAlignment="1">
      <alignment horizontal="right" vertical="center"/>
    </xf>
    <xf numFmtId="171" fontId="18" fillId="20" borderId="16" xfId="66" applyFont="1" applyFill="1" applyBorder="1" applyAlignment="1">
      <alignment horizontal="right" vertical="center"/>
    </xf>
    <xf numFmtId="171" fontId="18" fillId="18" borderId="34" xfId="66" applyFont="1" applyFill="1" applyBorder="1" applyAlignment="1">
      <alignment vertical="center"/>
    </xf>
    <xf numFmtId="171" fontId="18" fillId="20" borderId="33" xfId="66" applyFont="1" applyFill="1" applyBorder="1" applyAlignment="1" quotePrefix="1">
      <alignment horizontal="right" vertical="center"/>
    </xf>
    <xf numFmtId="171" fontId="19" fillId="0" borderId="35" xfId="66" applyFont="1" applyFill="1" applyBorder="1" applyAlignment="1">
      <alignment horizontal="right" vertical="center"/>
    </xf>
    <xf numFmtId="171" fontId="18" fillId="19" borderId="34" xfId="66" applyFont="1" applyFill="1" applyBorder="1" applyAlignment="1">
      <alignment vertical="center"/>
    </xf>
    <xf numFmtId="171" fontId="19" fillId="0" borderId="16" xfId="66" applyFont="1" applyFill="1" applyBorder="1" applyAlignment="1">
      <alignment vertical="center"/>
    </xf>
    <xf numFmtId="171" fontId="19" fillId="0" borderId="33" xfId="66" applyFont="1" applyFill="1" applyBorder="1" applyAlignment="1">
      <alignment horizontal="right" vertical="center"/>
    </xf>
    <xf numFmtId="171" fontId="18" fillId="20" borderId="16" xfId="66" applyFont="1" applyFill="1" applyBorder="1" applyAlignment="1">
      <alignment horizontal="right" vertical="center" wrapText="1"/>
    </xf>
    <xf numFmtId="171" fontId="18" fillId="18" borderId="33" xfId="66" applyFont="1" applyFill="1" applyBorder="1" applyAlignment="1">
      <alignment vertical="center"/>
    </xf>
    <xf numFmtId="171" fontId="18" fillId="20" borderId="16" xfId="66" applyFont="1" applyFill="1" applyBorder="1" applyAlignment="1" quotePrefix="1">
      <alignment horizontal="right" vertical="center"/>
    </xf>
    <xf numFmtId="171" fontId="18" fillId="20" borderId="24" xfId="66" applyFont="1" applyFill="1" applyBorder="1" applyAlignment="1">
      <alignment horizontal="right" vertical="center"/>
    </xf>
    <xf numFmtId="9" fontId="18" fillId="0" borderId="36" xfId="54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horizontal="center"/>
    </xf>
    <xf numFmtId="171" fontId="31" fillId="21" borderId="15" xfId="66" applyNumberFormat="1" applyFont="1" applyFill="1" applyBorder="1" applyAlignment="1">
      <alignment/>
    </xf>
    <xf numFmtId="0" fontId="18" fillId="20" borderId="11" xfId="0" applyFont="1" applyFill="1" applyBorder="1" applyAlignment="1">
      <alignment horizontal="right" vertical="center" wrapText="1"/>
    </xf>
    <xf numFmtId="171" fontId="18" fillId="20" borderId="11" xfId="66" applyFont="1" applyFill="1" applyBorder="1" applyAlignment="1">
      <alignment horizontal="right" vertical="center" wrapText="1"/>
    </xf>
    <xf numFmtId="171" fontId="18" fillId="20" borderId="34" xfId="66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171" fontId="18" fillId="0" borderId="11" xfId="66" applyFont="1" applyFill="1" applyBorder="1" applyAlignment="1">
      <alignment horizontal="right" vertical="center" wrapText="1"/>
    </xf>
    <xf numFmtId="171" fontId="18" fillId="0" borderId="34" xfId="66" applyFont="1" applyFill="1" applyBorder="1" applyAlignment="1">
      <alignment horizontal="right" vertical="center" wrapText="1"/>
    </xf>
    <xf numFmtId="0" fontId="19" fillId="21" borderId="15" xfId="0" applyFont="1" applyFill="1" applyBorder="1" applyAlignment="1">
      <alignment horizontal="center" vertical="center"/>
    </xf>
    <xf numFmtId="0" fontId="19" fillId="21" borderId="9" xfId="0" applyNumberFormat="1" applyFont="1" applyFill="1" applyBorder="1" applyAlignment="1">
      <alignment horizontal="center" vertical="center" wrapText="1"/>
    </xf>
    <xf numFmtId="0" fontId="19" fillId="21" borderId="9" xfId="0" applyFont="1" applyFill="1" applyBorder="1" applyAlignment="1">
      <alignment horizontal="center" vertical="center"/>
    </xf>
    <xf numFmtId="0" fontId="19" fillId="21" borderId="9" xfId="0" applyFont="1" applyFill="1" applyBorder="1" applyAlignment="1">
      <alignment horizontal="left" vertical="center"/>
    </xf>
    <xf numFmtId="4" fontId="19" fillId="21" borderId="9" xfId="0" applyNumberFormat="1" applyFont="1" applyFill="1" applyBorder="1" applyAlignment="1">
      <alignment horizontal="right" vertical="center"/>
    </xf>
    <xf numFmtId="2" fontId="19" fillId="21" borderId="9" xfId="0" applyNumberFormat="1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left" vertical="center"/>
    </xf>
    <xf numFmtId="2" fontId="19" fillId="21" borderId="15" xfId="0" applyNumberFormat="1" applyFont="1" applyFill="1" applyBorder="1" applyAlignment="1">
      <alignment horizontal="center" vertical="center"/>
    </xf>
    <xf numFmtId="2" fontId="19" fillId="21" borderId="31" xfId="0" applyNumberFormat="1" applyFont="1" applyFill="1" applyBorder="1" applyAlignment="1">
      <alignment horizontal="right" vertical="center"/>
    </xf>
    <xf numFmtId="0" fontId="18" fillId="20" borderId="17" xfId="0" applyFont="1" applyFill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left" vertical="center" wrapText="1"/>
    </xf>
    <xf numFmtId="2" fontId="19" fillId="0" borderId="11" xfId="0" applyNumberFormat="1" applyFont="1" applyFill="1" applyBorder="1" applyAlignment="1">
      <alignment horizontal="right" vertical="center"/>
    </xf>
    <xf numFmtId="4" fontId="19" fillId="0" borderId="34" xfId="66" applyNumberFormat="1" applyFont="1" applyFill="1" applyBorder="1" applyAlignment="1">
      <alignment horizontal="right" vertical="center"/>
    </xf>
    <xf numFmtId="9" fontId="31" fillId="21" borderId="33" xfId="54" applyFont="1" applyFill="1" applyBorder="1" applyAlignment="1">
      <alignment/>
    </xf>
    <xf numFmtId="9" fontId="31" fillId="21" borderId="38" xfId="54" applyFont="1" applyFill="1" applyBorder="1" applyAlignment="1">
      <alignment/>
    </xf>
    <xf numFmtId="9" fontId="31" fillId="21" borderId="39" xfId="54" applyFont="1" applyFill="1" applyBorder="1" applyAlignment="1">
      <alignment/>
    </xf>
    <xf numFmtId="9" fontId="31" fillId="21" borderId="40" xfId="54" applyFont="1" applyFill="1" applyBorder="1" applyAlignment="1">
      <alignment/>
    </xf>
    <xf numFmtId="9" fontId="31" fillId="21" borderId="16" xfId="54" applyFont="1" applyFill="1" applyBorder="1" applyAlignment="1">
      <alignment/>
    </xf>
    <xf numFmtId="10" fontId="32" fillId="0" borderId="21" xfId="54" applyNumberFormat="1" applyFont="1" applyFill="1" applyBorder="1" applyAlignment="1">
      <alignment/>
    </xf>
    <xf numFmtId="10" fontId="32" fillId="0" borderId="23" xfId="54" applyNumberFormat="1" applyFont="1" applyFill="1" applyBorder="1" applyAlignment="1">
      <alignment/>
    </xf>
    <xf numFmtId="10" fontId="31" fillId="21" borderId="35" xfId="54" applyNumberFormat="1" applyFont="1" applyFill="1" applyBorder="1" applyAlignment="1">
      <alignment/>
    </xf>
    <xf numFmtId="10" fontId="31" fillId="21" borderId="16" xfId="54" applyNumberFormat="1" applyFont="1" applyFill="1" applyBorder="1" applyAlignment="1">
      <alignment/>
    </xf>
    <xf numFmtId="10" fontId="32" fillId="0" borderId="40" xfId="54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 horizontal="center" vertical="center" wrapText="1"/>
    </xf>
    <xf numFmtId="0" fontId="18" fillId="22" borderId="28" xfId="0" applyFont="1" applyFill="1" applyBorder="1" applyAlignment="1">
      <alignment horizontal="center" vertical="center"/>
    </xf>
    <xf numFmtId="0" fontId="18" fillId="22" borderId="41" xfId="0" applyNumberFormat="1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/>
    </xf>
    <xf numFmtId="0" fontId="18" fillId="22" borderId="41" xfId="0" applyFont="1" applyFill="1" applyBorder="1" applyAlignment="1">
      <alignment horizontal="center" vertical="center" wrapText="1"/>
    </xf>
    <xf numFmtId="4" fontId="18" fillId="22" borderId="41" xfId="0" applyNumberFormat="1" applyFont="1" applyFill="1" applyBorder="1" applyAlignment="1">
      <alignment horizontal="right" vertical="center"/>
    </xf>
    <xf numFmtId="171" fontId="18" fillId="22" borderId="41" xfId="66" applyFont="1" applyFill="1" applyBorder="1" applyAlignment="1">
      <alignment horizontal="right" vertical="center"/>
    </xf>
    <xf numFmtId="171" fontId="18" fillId="22" borderId="29" xfId="66" applyFont="1" applyFill="1" applyBorder="1" applyAlignment="1">
      <alignment horizontal="right" vertical="center"/>
    </xf>
    <xf numFmtId="171" fontId="19" fillId="21" borderId="9" xfId="66" applyFont="1" applyFill="1" applyBorder="1" applyAlignment="1">
      <alignment horizontal="right" vertical="center"/>
    </xf>
    <xf numFmtId="0" fontId="18" fillId="20" borderId="15" xfId="0" applyFont="1" applyFill="1" applyBorder="1" applyAlignment="1">
      <alignment horizontal="right" vertical="center" wrapText="1"/>
    </xf>
    <xf numFmtId="0" fontId="18" fillId="20" borderId="9" xfId="0" applyFont="1" applyFill="1" applyBorder="1" applyAlignment="1">
      <alignment horizontal="right" vertical="center" wrapText="1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20" borderId="13" xfId="0" applyFont="1" applyFill="1" applyBorder="1" applyAlignment="1">
      <alignment horizontal="right" vertical="center" wrapText="1"/>
    </xf>
    <xf numFmtId="0" fontId="18" fillId="20" borderId="10" xfId="0" applyFont="1" applyFill="1" applyBorder="1" applyAlignment="1">
      <alignment horizontal="right" vertical="center" wrapText="1"/>
    </xf>
    <xf numFmtId="0" fontId="18" fillId="20" borderId="27" xfId="0" applyFont="1" applyFill="1" applyBorder="1" applyAlignment="1">
      <alignment horizontal="right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8" fillId="23" borderId="45" xfId="0" applyFont="1" applyFill="1" applyBorder="1" applyAlignment="1">
      <alignment horizontal="left" vertical="center" wrapText="1"/>
    </xf>
    <xf numFmtId="0" fontId="18" fillId="23" borderId="46" xfId="0" applyFont="1" applyFill="1" applyBorder="1" applyAlignment="1">
      <alignment horizontal="left" vertical="center" wrapText="1"/>
    </xf>
    <xf numFmtId="0" fontId="18" fillId="23" borderId="39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18" fillId="20" borderId="22" xfId="0" applyFont="1" applyFill="1" applyBorder="1" applyAlignment="1">
      <alignment horizontal="right" vertical="center" wrapText="1"/>
    </xf>
    <xf numFmtId="0" fontId="18" fillId="20" borderId="23" xfId="0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0" borderId="33" xfId="0" applyNumberFormat="1" applyFont="1" applyFill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4" fontId="29" fillId="21" borderId="47" xfId="0" applyNumberFormat="1" applyFont="1" applyFill="1" applyBorder="1" applyAlignment="1">
      <alignment horizontal="center" wrapText="1"/>
    </xf>
    <xf numFmtId="4" fontId="29" fillId="21" borderId="48" xfId="0" applyNumberFormat="1" applyFont="1" applyFill="1" applyBorder="1" applyAlignment="1">
      <alignment horizontal="center" wrapText="1"/>
    </xf>
    <xf numFmtId="4" fontId="29" fillId="21" borderId="49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8" fillId="23" borderId="47" xfId="0" applyFont="1" applyFill="1" applyBorder="1" applyAlignment="1">
      <alignment horizontal="center" vertical="center" wrapText="1"/>
    </xf>
    <xf numFmtId="0" fontId="18" fillId="23" borderId="48" xfId="0" applyFont="1" applyFill="1" applyBorder="1" applyAlignment="1">
      <alignment horizontal="center" vertical="center" wrapText="1"/>
    </xf>
    <xf numFmtId="0" fontId="18" fillId="23" borderId="49" xfId="0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0" xfId="37"/>
    <cellStyle name="Currency0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ta" xfId="53"/>
    <cellStyle name="Percent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3.emf" /><Relationship Id="rId6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353</xdr:row>
      <xdr:rowOff>76200</xdr:rowOff>
    </xdr:from>
    <xdr:to>
      <xdr:col>3</xdr:col>
      <xdr:colOff>600075</xdr:colOff>
      <xdr:row>354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65360550"/>
          <a:ext cx="733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2819400</xdr:colOff>
      <xdr:row>353</xdr:row>
      <xdr:rowOff>76200</xdr:rowOff>
    </xdr:from>
    <xdr:to>
      <xdr:col>3</xdr:col>
      <xdr:colOff>3552825</xdr:colOff>
      <xdr:row>354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65360550"/>
          <a:ext cx="733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353</xdr:row>
      <xdr:rowOff>76200</xdr:rowOff>
    </xdr:from>
    <xdr:to>
      <xdr:col>5</xdr:col>
      <xdr:colOff>352425</xdr:colOff>
      <xdr:row>354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58200" y="65360550"/>
          <a:ext cx="733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353</xdr:row>
      <xdr:rowOff>76200</xdr:rowOff>
    </xdr:from>
    <xdr:to>
      <xdr:col>5</xdr:col>
      <xdr:colOff>352425</xdr:colOff>
      <xdr:row>354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58200" y="65360550"/>
          <a:ext cx="733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353</xdr:row>
      <xdr:rowOff>76200</xdr:rowOff>
    </xdr:from>
    <xdr:to>
      <xdr:col>5</xdr:col>
      <xdr:colOff>352425</xdr:colOff>
      <xdr:row>354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65360550"/>
          <a:ext cx="733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133350</xdr:rowOff>
    </xdr:from>
    <xdr:to>
      <xdr:col>2</xdr:col>
      <xdr:colOff>552450</xdr:colOff>
      <xdr:row>2</xdr:row>
      <xdr:rowOff>47625</xdr:rowOff>
    </xdr:to>
    <xdr:pic>
      <xdr:nvPicPr>
        <xdr:cNvPr id="6" name="Imagem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" y="133350"/>
          <a:ext cx="2152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104775</xdr:colOff>
      <xdr:row>5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162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tabColor rgb="FFFF0000"/>
    <pageSetUpPr fitToPage="1"/>
  </sheetPr>
  <dimension ref="A1:Q192"/>
  <sheetViews>
    <sheetView showZeros="0" tabSelected="1" view="pageBreakPreview" zoomScale="80" zoomScaleNormal="80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1" width="11.00390625" style="22" customWidth="1"/>
    <col min="2" max="2" width="15.140625" style="23" customWidth="1"/>
    <col min="3" max="3" width="8.421875" style="22" bestFit="1" customWidth="1"/>
    <col min="4" max="4" width="91.140625" style="26" customWidth="1"/>
    <col min="5" max="5" width="6.8515625" style="22" customWidth="1"/>
    <col min="6" max="6" width="11.28125" style="25" customWidth="1"/>
    <col min="7" max="7" width="14.140625" style="164" bestFit="1" customWidth="1"/>
    <col min="8" max="8" width="16.140625" style="164" customWidth="1"/>
    <col min="9" max="9" width="15.7109375" style="164" bestFit="1" customWidth="1"/>
    <col min="10" max="10" width="15.57421875" style="103" customWidth="1"/>
    <col min="11" max="11" width="14.140625" style="7" customWidth="1"/>
    <col min="12" max="12" width="19.421875" style="10" customWidth="1"/>
    <col min="13" max="13" width="19.00390625" style="10" customWidth="1"/>
    <col min="14" max="14" width="23.57421875" style="10" customWidth="1"/>
    <col min="15" max="15" width="9.140625" style="10" customWidth="1"/>
    <col min="16" max="16" width="5.28125" style="10" customWidth="1"/>
    <col min="17" max="19" width="9.140625" style="10" customWidth="1"/>
    <col min="20" max="20" width="11.00390625" style="10" customWidth="1"/>
    <col min="21" max="16384" width="9.140625" style="10" customWidth="1"/>
  </cols>
  <sheetData>
    <row r="1" spans="1:9" ht="72" customHeight="1">
      <c r="A1" s="239"/>
      <c r="B1" s="240"/>
      <c r="C1" s="240"/>
      <c r="D1" s="240"/>
      <c r="E1" s="240"/>
      <c r="F1" s="240"/>
      <c r="G1" s="240"/>
      <c r="H1" s="240"/>
      <c r="I1" s="241"/>
    </row>
    <row r="2" spans="1:9" ht="20.25">
      <c r="A2" s="250" t="s">
        <v>255</v>
      </c>
      <c r="B2" s="251"/>
      <c r="C2" s="251"/>
      <c r="D2" s="251"/>
      <c r="E2" s="251"/>
      <c r="F2" s="251"/>
      <c r="G2" s="251"/>
      <c r="H2" s="251"/>
      <c r="I2" s="252"/>
    </row>
    <row r="3" spans="1:9" ht="6.75" customHeight="1">
      <c r="A3" s="253"/>
      <c r="B3" s="254"/>
      <c r="C3" s="254"/>
      <c r="D3" s="254"/>
      <c r="E3" s="254"/>
      <c r="F3" s="254"/>
      <c r="G3" s="254"/>
      <c r="H3" s="254"/>
      <c r="I3" s="255"/>
    </row>
    <row r="4" spans="1:9" ht="6.75" customHeight="1">
      <c r="A4" s="253"/>
      <c r="B4" s="254"/>
      <c r="C4" s="254"/>
      <c r="D4" s="254"/>
      <c r="E4" s="254"/>
      <c r="F4" s="254"/>
      <c r="G4" s="254"/>
      <c r="H4" s="254"/>
      <c r="I4" s="255"/>
    </row>
    <row r="5" spans="1:11" s="5" customFormat="1" ht="19.5" customHeight="1">
      <c r="A5" s="242" t="s">
        <v>256</v>
      </c>
      <c r="B5" s="243"/>
      <c r="C5" s="243"/>
      <c r="D5" s="243"/>
      <c r="E5" s="243"/>
      <c r="F5" s="243"/>
      <c r="G5" s="243"/>
      <c r="H5" s="243"/>
      <c r="I5" s="244"/>
      <c r="J5" s="100"/>
      <c r="K5" s="4"/>
    </row>
    <row r="6" spans="1:11" s="5" customFormat="1" ht="18" customHeight="1" thickBot="1">
      <c r="A6" s="242" t="s">
        <v>144</v>
      </c>
      <c r="B6" s="243"/>
      <c r="C6" s="243"/>
      <c r="D6" s="243"/>
      <c r="E6" s="243"/>
      <c r="F6" s="243"/>
      <c r="G6" s="243"/>
      <c r="H6" s="243"/>
      <c r="I6" s="244"/>
      <c r="J6" s="100"/>
      <c r="K6" s="4"/>
    </row>
    <row r="7" spans="1:11" s="2" customFormat="1" ht="18" customHeight="1" thickBot="1">
      <c r="A7" s="274" t="s">
        <v>31</v>
      </c>
      <c r="B7" s="275"/>
      <c r="C7" s="275"/>
      <c r="D7" s="275"/>
      <c r="E7" s="275"/>
      <c r="F7" s="275"/>
      <c r="G7" s="275"/>
      <c r="H7" s="275"/>
      <c r="I7" s="276"/>
      <c r="J7" s="99"/>
      <c r="K7" s="6"/>
    </row>
    <row r="8" spans="1:13" s="2" customFormat="1" ht="18.75" customHeight="1">
      <c r="A8" s="245" t="s">
        <v>34</v>
      </c>
      <c r="B8" s="246"/>
      <c r="C8" s="246"/>
      <c r="D8" s="246"/>
      <c r="E8" s="246"/>
      <c r="F8" s="246"/>
      <c r="G8" s="246"/>
      <c r="H8" s="246"/>
      <c r="I8" s="189">
        <v>0.28</v>
      </c>
      <c r="J8" s="99"/>
      <c r="K8" s="7"/>
      <c r="L8" s="1"/>
      <c r="M8" s="1"/>
    </row>
    <row r="9" spans="1:13" s="2" customFormat="1" ht="18.75" customHeight="1" thickBot="1">
      <c r="A9" s="247" t="s">
        <v>163</v>
      </c>
      <c r="B9" s="248"/>
      <c r="C9" s="248"/>
      <c r="D9" s="248"/>
      <c r="E9" s="248"/>
      <c r="F9" s="248"/>
      <c r="G9" s="248"/>
      <c r="H9" s="248"/>
      <c r="I9" s="249"/>
      <c r="J9" s="99"/>
      <c r="K9" s="7"/>
      <c r="L9" s="1"/>
      <c r="M9" s="1"/>
    </row>
    <row r="10" spans="1:13" s="2" customFormat="1" ht="15.75" thickBot="1">
      <c r="A10" s="223" t="s">
        <v>15</v>
      </c>
      <c r="B10" s="224" t="s">
        <v>23</v>
      </c>
      <c r="C10" s="225" t="s">
        <v>3</v>
      </c>
      <c r="D10" s="226" t="s">
        <v>24</v>
      </c>
      <c r="E10" s="225" t="s">
        <v>25</v>
      </c>
      <c r="F10" s="227" t="s">
        <v>26</v>
      </c>
      <c r="G10" s="228" t="s">
        <v>27</v>
      </c>
      <c r="H10" s="228" t="s">
        <v>32</v>
      </c>
      <c r="I10" s="229" t="s">
        <v>28</v>
      </c>
      <c r="J10" s="99"/>
      <c r="K10" s="3"/>
      <c r="L10" s="1"/>
      <c r="M10" s="1"/>
    </row>
    <row r="11" spans="1:11" s="8" customFormat="1" ht="12.75" customHeight="1">
      <c r="A11" s="233"/>
      <c r="B11" s="234"/>
      <c r="C11" s="234"/>
      <c r="D11" s="234"/>
      <c r="E11" s="234"/>
      <c r="F11" s="234"/>
      <c r="G11" s="234"/>
      <c r="H11" s="234"/>
      <c r="I11" s="235"/>
      <c r="J11" s="102"/>
      <c r="K11" s="9"/>
    </row>
    <row r="12" spans="1:11" ht="15">
      <c r="A12" s="79">
        <v>1</v>
      </c>
      <c r="B12" s="36"/>
      <c r="C12" s="37"/>
      <c r="D12" s="38" t="s">
        <v>0</v>
      </c>
      <c r="E12" s="39"/>
      <c r="F12" s="40"/>
      <c r="G12" s="151"/>
      <c r="H12" s="151"/>
      <c r="I12" s="176"/>
      <c r="K12" s="6"/>
    </row>
    <row r="13" spans="1:11" ht="15">
      <c r="A13" s="145">
        <v>1.1</v>
      </c>
      <c r="B13" s="11" t="s">
        <v>146</v>
      </c>
      <c r="C13" s="146" t="s">
        <v>22</v>
      </c>
      <c r="D13" s="67" t="s">
        <v>145</v>
      </c>
      <c r="E13" s="13" t="s">
        <v>37</v>
      </c>
      <c r="F13" s="14">
        <v>12</v>
      </c>
      <c r="G13" s="152">
        <v>256.46</v>
      </c>
      <c r="H13" s="152">
        <f aca="true" t="shared" si="0" ref="H13:H18">ROUNDDOWN(G13*(1+$I$8),2)</f>
        <v>328.26</v>
      </c>
      <c r="I13" s="177">
        <f aca="true" t="shared" si="1" ref="I13:I18">TRUNC(F13*H13,2)</f>
        <v>3939.12</v>
      </c>
      <c r="K13" s="6"/>
    </row>
    <row r="14" spans="1:11" ht="15">
      <c r="A14" s="81">
        <v>1.2</v>
      </c>
      <c r="B14" s="12">
        <v>73960</v>
      </c>
      <c r="C14" s="12" t="s">
        <v>22</v>
      </c>
      <c r="D14" s="20" t="s">
        <v>36</v>
      </c>
      <c r="E14" s="21" t="s">
        <v>45</v>
      </c>
      <c r="F14" s="61">
        <v>1</v>
      </c>
      <c r="G14" s="153">
        <v>1172.11</v>
      </c>
      <c r="H14" s="152">
        <f t="shared" si="0"/>
        <v>1500.3</v>
      </c>
      <c r="I14" s="177">
        <f t="shared" si="1"/>
        <v>1500.3</v>
      </c>
      <c r="J14" s="102"/>
      <c r="K14" s="6"/>
    </row>
    <row r="15" spans="1:12" ht="15">
      <c r="A15" s="81">
        <v>1.3</v>
      </c>
      <c r="B15" s="12" t="s">
        <v>86</v>
      </c>
      <c r="C15" s="12" t="s">
        <v>22</v>
      </c>
      <c r="D15" s="20" t="s">
        <v>87</v>
      </c>
      <c r="E15" s="21" t="s">
        <v>37</v>
      </c>
      <c r="F15" s="61">
        <v>12</v>
      </c>
      <c r="G15" s="153">
        <v>328.5</v>
      </c>
      <c r="H15" s="152">
        <f t="shared" si="0"/>
        <v>420.48</v>
      </c>
      <c r="I15" s="177">
        <f t="shared" si="1"/>
        <v>5045.76</v>
      </c>
      <c r="J15" s="102"/>
      <c r="K15" s="102"/>
      <c r="L15" s="19"/>
    </row>
    <row r="16" spans="1:17" ht="15">
      <c r="A16" s="81">
        <v>1.4</v>
      </c>
      <c r="B16" s="12" t="s">
        <v>42</v>
      </c>
      <c r="C16" s="12" t="s">
        <v>22</v>
      </c>
      <c r="D16" s="20" t="s">
        <v>62</v>
      </c>
      <c r="E16" s="21" t="s">
        <v>37</v>
      </c>
      <c r="F16" s="61">
        <v>773.8</v>
      </c>
      <c r="G16" s="153">
        <v>6.6</v>
      </c>
      <c r="H16" s="152">
        <f t="shared" si="0"/>
        <v>8.44</v>
      </c>
      <c r="I16" s="177">
        <f t="shared" si="1"/>
        <v>6530.87</v>
      </c>
      <c r="K16" s="6"/>
      <c r="L16" s="19"/>
      <c r="Q16" s="19"/>
    </row>
    <row r="17" spans="1:17" ht="15">
      <c r="A17" s="81">
        <v>1.5</v>
      </c>
      <c r="B17" s="12" t="s">
        <v>73</v>
      </c>
      <c r="C17" s="12" t="s">
        <v>22</v>
      </c>
      <c r="D17" s="20" t="s">
        <v>74</v>
      </c>
      <c r="E17" s="21" t="s">
        <v>37</v>
      </c>
      <c r="F17" s="61">
        <v>773.8</v>
      </c>
      <c r="G17" s="153">
        <v>0.5</v>
      </c>
      <c r="H17" s="152">
        <f t="shared" si="0"/>
        <v>0.64</v>
      </c>
      <c r="I17" s="177">
        <f t="shared" si="1"/>
        <v>495.23</v>
      </c>
      <c r="J17" s="102"/>
      <c r="K17" s="6"/>
      <c r="Q17" s="19"/>
    </row>
    <row r="18" spans="1:11" ht="15">
      <c r="A18" s="81">
        <v>1.6</v>
      </c>
      <c r="B18" s="12">
        <v>5622</v>
      </c>
      <c r="C18" s="12" t="s">
        <v>22</v>
      </c>
      <c r="D18" s="20" t="s">
        <v>75</v>
      </c>
      <c r="E18" s="21" t="s">
        <v>37</v>
      </c>
      <c r="F18" s="61">
        <v>773.8</v>
      </c>
      <c r="G18" s="153">
        <v>3.77</v>
      </c>
      <c r="H18" s="152">
        <f t="shared" si="0"/>
        <v>4.82</v>
      </c>
      <c r="I18" s="177">
        <f t="shared" si="1"/>
        <v>3729.71</v>
      </c>
      <c r="J18" s="102"/>
      <c r="K18" s="6"/>
    </row>
    <row r="19" spans="1:11" ht="14.25" customHeight="1">
      <c r="A19" s="231" t="s">
        <v>7</v>
      </c>
      <c r="B19" s="232"/>
      <c r="C19" s="232"/>
      <c r="D19" s="232"/>
      <c r="E19" s="232"/>
      <c r="F19" s="232"/>
      <c r="G19" s="232"/>
      <c r="H19" s="166"/>
      <c r="I19" s="178">
        <f>SUM(I13:I18)</f>
        <v>21240.989999999998</v>
      </c>
      <c r="J19" s="101">
        <f>I19/$I$185</f>
        <v>0.03882260298300694</v>
      </c>
      <c r="K19" s="10"/>
    </row>
    <row r="20" spans="1:11" ht="15">
      <c r="A20" s="83"/>
      <c r="B20" s="44"/>
      <c r="C20" s="33"/>
      <c r="D20" s="33"/>
      <c r="E20" s="33"/>
      <c r="F20" s="45"/>
      <c r="G20" s="154"/>
      <c r="H20" s="154"/>
      <c r="I20" s="179"/>
      <c r="J20" s="102"/>
      <c r="K20" s="10"/>
    </row>
    <row r="21" spans="1:11" ht="15">
      <c r="A21" s="79">
        <v>2</v>
      </c>
      <c r="B21" s="36"/>
      <c r="C21" s="37"/>
      <c r="D21" s="46" t="s">
        <v>39</v>
      </c>
      <c r="E21" s="42"/>
      <c r="F21" s="43"/>
      <c r="G21" s="155"/>
      <c r="H21" s="155"/>
      <c r="I21" s="180"/>
      <c r="J21" s="102"/>
      <c r="K21" s="10"/>
    </row>
    <row r="22" spans="1:11" ht="15">
      <c r="A22" s="84" t="s">
        <v>64</v>
      </c>
      <c r="B22" s="55">
        <v>73481</v>
      </c>
      <c r="C22" s="54" t="s">
        <v>22</v>
      </c>
      <c r="D22" s="56" t="s">
        <v>18</v>
      </c>
      <c r="E22" s="57" t="s">
        <v>43</v>
      </c>
      <c r="F22" s="58">
        <f>18+45.5</f>
        <v>63.5</v>
      </c>
      <c r="G22" s="156">
        <v>29.2</v>
      </c>
      <c r="H22" s="167">
        <f>ROUNDDOWN(G22*(1+$I$8),2)</f>
        <v>37.37</v>
      </c>
      <c r="I22" s="181">
        <f>TRUNC(F22*H22,2)</f>
        <v>2372.99</v>
      </c>
      <c r="J22" s="102"/>
      <c r="K22" s="10"/>
    </row>
    <row r="23" spans="1:11" ht="15">
      <c r="A23" s="84">
        <v>2.2</v>
      </c>
      <c r="B23" s="55" t="s">
        <v>56</v>
      </c>
      <c r="C23" s="54" t="s">
        <v>22</v>
      </c>
      <c r="D23" s="56" t="s">
        <v>148</v>
      </c>
      <c r="E23" s="57" t="s">
        <v>37</v>
      </c>
      <c r="F23" s="58">
        <v>37.9</v>
      </c>
      <c r="G23" s="156">
        <v>23.99</v>
      </c>
      <c r="H23" s="167">
        <f>ROUNDDOWN(G23*(1+$I$8),2)</f>
        <v>30.7</v>
      </c>
      <c r="I23" s="181">
        <f>TRUNC(F23*H23,2)</f>
        <v>1163.53</v>
      </c>
      <c r="J23" s="102"/>
      <c r="K23" s="10"/>
    </row>
    <row r="24" spans="1:11" ht="15">
      <c r="A24" s="85">
        <v>2.3</v>
      </c>
      <c r="B24" s="12">
        <v>53527</v>
      </c>
      <c r="C24" s="12" t="s">
        <v>22</v>
      </c>
      <c r="D24" s="18" t="s">
        <v>149</v>
      </c>
      <c r="E24" s="13" t="s">
        <v>43</v>
      </c>
      <c r="F24" s="14">
        <f>F22*0.4</f>
        <v>25.400000000000002</v>
      </c>
      <c r="G24" s="153">
        <v>45.8</v>
      </c>
      <c r="H24" s="152">
        <f aca="true" t="shared" si="2" ref="H24:H30">ROUNDDOWN(G24*(1+$I$8),2)</f>
        <v>58.62</v>
      </c>
      <c r="I24" s="177">
        <f aca="true" t="shared" si="3" ref="I24:I30">TRUNC(F24*H24,2)</f>
        <v>1488.94</v>
      </c>
      <c r="J24" s="102"/>
      <c r="K24" s="10"/>
    </row>
    <row r="25" spans="1:11" ht="15">
      <c r="A25" s="85">
        <v>2.4</v>
      </c>
      <c r="B25" s="11" t="s">
        <v>29</v>
      </c>
      <c r="C25" s="12" t="s">
        <v>22</v>
      </c>
      <c r="D25" s="62" t="s">
        <v>81</v>
      </c>
      <c r="E25" s="13" t="s">
        <v>43</v>
      </c>
      <c r="F25" s="63">
        <f>10.49+7.08+5.69</f>
        <v>23.26</v>
      </c>
      <c r="G25" s="153">
        <v>344</v>
      </c>
      <c r="H25" s="152">
        <f t="shared" si="2"/>
        <v>440.32</v>
      </c>
      <c r="I25" s="177">
        <f t="shared" si="3"/>
        <v>10241.84</v>
      </c>
      <c r="J25" s="102"/>
      <c r="K25" s="10"/>
    </row>
    <row r="26" spans="1:11" ht="15">
      <c r="A26" s="85">
        <v>2.5</v>
      </c>
      <c r="B26" s="11" t="s">
        <v>8</v>
      </c>
      <c r="C26" s="12" t="s">
        <v>22</v>
      </c>
      <c r="D26" s="62" t="s">
        <v>9</v>
      </c>
      <c r="E26" s="13" t="s">
        <v>43</v>
      </c>
      <c r="F26" s="63">
        <v>23.26</v>
      </c>
      <c r="G26" s="153">
        <v>74.99</v>
      </c>
      <c r="H26" s="152">
        <f t="shared" si="2"/>
        <v>95.98</v>
      </c>
      <c r="I26" s="177">
        <f t="shared" si="3"/>
        <v>2232.49</v>
      </c>
      <c r="J26" s="102"/>
      <c r="K26" s="10"/>
    </row>
    <row r="27" spans="1:11" ht="15">
      <c r="A27" s="85">
        <v>2.6</v>
      </c>
      <c r="B27" s="11">
        <v>79483</v>
      </c>
      <c r="C27" s="12" t="s">
        <v>22</v>
      </c>
      <c r="D27" s="18" t="s">
        <v>19</v>
      </c>
      <c r="E27" s="13" t="s">
        <v>37</v>
      </c>
      <c r="F27" s="14">
        <v>37.9</v>
      </c>
      <c r="G27" s="153">
        <v>17.17</v>
      </c>
      <c r="H27" s="152">
        <f t="shared" si="2"/>
        <v>21.97</v>
      </c>
      <c r="I27" s="177">
        <f t="shared" si="3"/>
        <v>832.66</v>
      </c>
      <c r="J27" s="102"/>
      <c r="K27" s="10"/>
    </row>
    <row r="28" spans="1:11" ht="15">
      <c r="A28" s="85">
        <v>2.7</v>
      </c>
      <c r="B28" s="11" t="s">
        <v>142</v>
      </c>
      <c r="C28" s="12" t="s">
        <v>22</v>
      </c>
      <c r="D28" s="64" t="s">
        <v>143</v>
      </c>
      <c r="E28" s="13" t="s">
        <v>37</v>
      </c>
      <c r="F28" s="63">
        <f>60.95+100.31+77.94</f>
        <v>239.2</v>
      </c>
      <c r="G28" s="153">
        <v>54.03</v>
      </c>
      <c r="H28" s="152">
        <f t="shared" si="2"/>
        <v>69.15</v>
      </c>
      <c r="I28" s="177">
        <f t="shared" si="3"/>
        <v>16540.68</v>
      </c>
      <c r="J28" s="102"/>
      <c r="K28" s="10"/>
    </row>
    <row r="29" spans="1:11" ht="15">
      <c r="A29" s="85">
        <v>2.8</v>
      </c>
      <c r="B29" s="11" t="s">
        <v>5</v>
      </c>
      <c r="C29" s="12" t="s">
        <v>22</v>
      </c>
      <c r="D29" s="18" t="s">
        <v>80</v>
      </c>
      <c r="E29" s="13" t="s">
        <v>44</v>
      </c>
      <c r="F29" s="63">
        <f>667+346.8+266.8</f>
        <v>1280.6</v>
      </c>
      <c r="G29" s="153">
        <v>7.21</v>
      </c>
      <c r="H29" s="152">
        <f t="shared" si="2"/>
        <v>9.22</v>
      </c>
      <c r="I29" s="177">
        <f t="shared" si="3"/>
        <v>11807.13</v>
      </c>
      <c r="J29" s="102"/>
      <c r="K29" s="10"/>
    </row>
    <row r="30" spans="1:11" ht="15">
      <c r="A30" s="85">
        <v>2.9</v>
      </c>
      <c r="B30" s="11" t="s">
        <v>78</v>
      </c>
      <c r="C30" s="12" t="s">
        <v>22</v>
      </c>
      <c r="D30" s="18" t="s">
        <v>79</v>
      </c>
      <c r="E30" s="13" t="s">
        <v>44</v>
      </c>
      <c r="F30" s="63">
        <f>43+96+75.94</f>
        <v>214.94</v>
      </c>
      <c r="G30" s="153">
        <v>7.08</v>
      </c>
      <c r="H30" s="152">
        <f t="shared" si="2"/>
        <v>9.06</v>
      </c>
      <c r="I30" s="177">
        <f t="shared" si="3"/>
        <v>1947.35</v>
      </c>
      <c r="J30" s="102"/>
      <c r="K30" s="10"/>
    </row>
    <row r="31" spans="1:11" ht="28.5">
      <c r="A31" s="86">
        <v>2.1</v>
      </c>
      <c r="B31" s="11" t="s">
        <v>17</v>
      </c>
      <c r="C31" s="12" t="s">
        <v>22</v>
      </c>
      <c r="D31" s="18" t="s">
        <v>88</v>
      </c>
      <c r="E31" s="13" t="s">
        <v>37</v>
      </c>
      <c r="F31" s="14">
        <v>171</v>
      </c>
      <c r="G31" s="152">
        <v>7.53</v>
      </c>
      <c r="H31" s="152">
        <f>ROUNDDOWN(G31*(1+$I$8),2)</f>
        <v>9.63</v>
      </c>
      <c r="I31" s="177">
        <f>TRUNC(F31*H31,2)</f>
        <v>1646.73</v>
      </c>
      <c r="J31" s="102"/>
      <c r="K31" s="10"/>
    </row>
    <row r="32" spans="1:12" ht="15">
      <c r="A32" s="231" t="s">
        <v>7</v>
      </c>
      <c r="B32" s="232"/>
      <c r="C32" s="232"/>
      <c r="D32" s="232"/>
      <c r="E32" s="232"/>
      <c r="F32" s="232"/>
      <c r="G32" s="232"/>
      <c r="H32" s="168"/>
      <c r="I32" s="178">
        <f>SUM(I22:I31)</f>
        <v>50274.340000000004</v>
      </c>
      <c r="J32" s="101">
        <f>I32/$I$185</f>
        <v>0.0918874657938592</v>
      </c>
      <c r="K32" s="6"/>
      <c r="L32" s="19"/>
    </row>
    <row r="33" spans="1:11" ht="15">
      <c r="A33" s="87"/>
      <c r="B33" s="44"/>
      <c r="C33" s="47"/>
      <c r="D33" s="47"/>
      <c r="E33" s="47"/>
      <c r="F33" s="45"/>
      <c r="G33" s="154"/>
      <c r="H33" s="154"/>
      <c r="I33" s="179"/>
      <c r="J33" s="102"/>
      <c r="K33" s="6"/>
    </row>
    <row r="34" spans="1:11" ht="15">
      <c r="A34" s="79">
        <v>3</v>
      </c>
      <c r="B34" s="36"/>
      <c r="C34" s="48"/>
      <c r="D34" s="38" t="s">
        <v>40</v>
      </c>
      <c r="E34" s="42"/>
      <c r="F34" s="43"/>
      <c r="G34" s="155"/>
      <c r="H34" s="155"/>
      <c r="I34" s="180"/>
      <c r="J34" s="102"/>
      <c r="K34" s="6"/>
    </row>
    <row r="35" spans="1:11" ht="15">
      <c r="A35" s="84" t="s">
        <v>65</v>
      </c>
      <c r="B35" s="55" t="s">
        <v>29</v>
      </c>
      <c r="C35" s="54" t="s">
        <v>22</v>
      </c>
      <c r="D35" s="65" t="s">
        <v>30</v>
      </c>
      <c r="E35" s="57" t="s">
        <v>43</v>
      </c>
      <c r="F35" s="66">
        <f>7.74+8.74+1.73</f>
        <v>18.21</v>
      </c>
      <c r="G35" s="156">
        <v>344</v>
      </c>
      <c r="H35" s="167">
        <f>ROUNDDOWN(G35*(1+$I$8),2)</f>
        <v>440.32</v>
      </c>
      <c r="I35" s="181">
        <f>TRUNC(F35*H35,2)</f>
        <v>8018.22</v>
      </c>
      <c r="J35" s="102"/>
      <c r="K35" s="6"/>
    </row>
    <row r="36" spans="1:11" ht="15">
      <c r="A36" s="85" t="s">
        <v>66</v>
      </c>
      <c r="B36" s="11" t="s">
        <v>10</v>
      </c>
      <c r="C36" s="12" t="s">
        <v>22</v>
      </c>
      <c r="D36" s="73" t="s">
        <v>11</v>
      </c>
      <c r="E36" s="13" t="s">
        <v>43</v>
      </c>
      <c r="F36" s="14">
        <v>18.21</v>
      </c>
      <c r="G36" s="153">
        <v>74.99</v>
      </c>
      <c r="H36" s="152">
        <f>ROUNDDOWN(G36*(1+$I$8),2)</f>
        <v>95.98</v>
      </c>
      <c r="I36" s="177">
        <f>TRUNC(F36*H36,2)</f>
        <v>1747.79</v>
      </c>
      <c r="J36" s="102"/>
      <c r="K36" s="6"/>
    </row>
    <row r="37" spans="1:11" ht="28.5">
      <c r="A37" s="85" t="s">
        <v>67</v>
      </c>
      <c r="B37" s="12">
        <v>73410</v>
      </c>
      <c r="C37" s="12" t="s">
        <v>22</v>
      </c>
      <c r="D37" s="18" t="s">
        <v>13</v>
      </c>
      <c r="E37" s="13" t="s">
        <v>37</v>
      </c>
      <c r="F37" s="14">
        <f>35.51+127.07+137.38</f>
        <v>299.96</v>
      </c>
      <c r="G37" s="153">
        <v>49.46</v>
      </c>
      <c r="H37" s="152">
        <f>ROUNDDOWN(G37*(1+$I$8),2)</f>
        <v>63.3</v>
      </c>
      <c r="I37" s="177">
        <f>TRUNC(F37*H37,2)</f>
        <v>18987.46</v>
      </c>
      <c r="J37" s="102"/>
      <c r="K37" s="6"/>
    </row>
    <row r="38" spans="1:11" ht="15">
      <c r="A38" s="85">
        <v>3.4</v>
      </c>
      <c r="B38" s="11" t="s">
        <v>5</v>
      </c>
      <c r="C38" s="12" t="s">
        <v>22</v>
      </c>
      <c r="D38" s="18" t="s">
        <v>80</v>
      </c>
      <c r="E38" s="13" t="s">
        <v>4</v>
      </c>
      <c r="F38" s="14">
        <f>796.4+404.4+155.7</f>
        <v>1356.5</v>
      </c>
      <c r="G38" s="153">
        <v>7.21</v>
      </c>
      <c r="H38" s="152">
        <f>ROUNDDOWN(G38*(1+$I$8),2)</f>
        <v>9.22</v>
      </c>
      <c r="I38" s="177">
        <f>TRUNC(F38*H38,2)</f>
        <v>12506.93</v>
      </c>
      <c r="J38" s="102"/>
      <c r="K38" s="6"/>
    </row>
    <row r="39" spans="1:12" ht="15">
      <c r="A39" s="85">
        <v>3.5</v>
      </c>
      <c r="B39" s="11" t="s">
        <v>78</v>
      </c>
      <c r="C39" s="12" t="s">
        <v>22</v>
      </c>
      <c r="D39" s="18" t="s">
        <v>79</v>
      </c>
      <c r="E39" s="13" t="s">
        <v>4</v>
      </c>
      <c r="F39" s="63">
        <f>141.4+118+32.6</f>
        <v>292</v>
      </c>
      <c r="G39" s="153">
        <v>7.08</v>
      </c>
      <c r="H39" s="152">
        <f>ROUNDDOWN(G39*(1+$I$8),2)</f>
        <v>9.06</v>
      </c>
      <c r="I39" s="177">
        <f>TRUNC(F39*H39,2)</f>
        <v>2645.52</v>
      </c>
      <c r="J39" s="102"/>
      <c r="K39" s="6"/>
      <c r="L39" s="19"/>
    </row>
    <row r="40" spans="1:11" ht="15">
      <c r="A40" s="231" t="s">
        <v>7</v>
      </c>
      <c r="B40" s="232"/>
      <c r="C40" s="232"/>
      <c r="D40" s="232"/>
      <c r="E40" s="232"/>
      <c r="F40" s="232"/>
      <c r="G40" s="232"/>
      <c r="H40" s="168"/>
      <c r="I40" s="178">
        <f>SUM(I35:I39)</f>
        <v>43905.92</v>
      </c>
      <c r="J40" s="101">
        <f>I40/$I$185</f>
        <v>0.0802477709731827</v>
      </c>
      <c r="K40" s="6"/>
    </row>
    <row r="41" spans="1:11" ht="15">
      <c r="A41" s="83"/>
      <c r="B41" s="44"/>
      <c r="C41" s="33"/>
      <c r="D41" s="33"/>
      <c r="E41" s="33"/>
      <c r="F41" s="45"/>
      <c r="G41" s="154"/>
      <c r="H41" s="154"/>
      <c r="I41" s="179"/>
      <c r="J41" s="102"/>
      <c r="K41" s="6"/>
    </row>
    <row r="42" spans="1:11" ht="15">
      <c r="A42" s="88">
        <v>4</v>
      </c>
      <c r="B42" s="51"/>
      <c r="C42" s="74"/>
      <c r="D42" s="50" t="s">
        <v>55</v>
      </c>
      <c r="E42" s="50"/>
      <c r="F42" s="52"/>
      <c r="G42" s="157"/>
      <c r="H42" s="157"/>
      <c r="I42" s="182"/>
      <c r="J42" s="102"/>
      <c r="K42" s="6"/>
    </row>
    <row r="43" spans="1:11" ht="15">
      <c r="A43" s="81" t="s">
        <v>68</v>
      </c>
      <c r="B43" s="11">
        <v>55835</v>
      </c>
      <c r="C43" s="12" t="s">
        <v>22</v>
      </c>
      <c r="D43" s="35" t="s">
        <v>63</v>
      </c>
      <c r="E43" s="12" t="s">
        <v>43</v>
      </c>
      <c r="F43" s="59">
        <f>322.66*0.15*1.3</f>
        <v>62.9187</v>
      </c>
      <c r="G43" s="153">
        <v>40.08</v>
      </c>
      <c r="H43" s="153">
        <f aca="true" t="shared" si="4" ref="H43:H49">ROUNDDOWN(G43*(1+$I$8),2)</f>
        <v>51.3</v>
      </c>
      <c r="I43" s="183">
        <f aca="true" t="shared" si="5" ref="I43:I49">TRUNC(F43*H43,2)</f>
        <v>3227.72</v>
      </c>
      <c r="J43" s="102"/>
      <c r="K43" s="6"/>
    </row>
    <row r="44" spans="1:11" ht="15">
      <c r="A44" s="81" t="s">
        <v>69</v>
      </c>
      <c r="B44" s="12" t="s">
        <v>56</v>
      </c>
      <c r="C44" s="12" t="s">
        <v>22</v>
      </c>
      <c r="D44" s="35" t="s">
        <v>57</v>
      </c>
      <c r="E44" s="12" t="s">
        <v>37</v>
      </c>
      <c r="F44" s="59">
        <v>296.15</v>
      </c>
      <c r="G44" s="153">
        <v>23.99</v>
      </c>
      <c r="H44" s="153">
        <f t="shared" si="4"/>
        <v>30.7</v>
      </c>
      <c r="I44" s="183">
        <f t="shared" si="5"/>
        <v>9091.8</v>
      </c>
      <c r="J44" s="102"/>
      <c r="K44" s="6"/>
    </row>
    <row r="45" spans="1:11" ht="15">
      <c r="A45" s="81" t="s">
        <v>70</v>
      </c>
      <c r="B45" s="11">
        <v>84191</v>
      </c>
      <c r="C45" s="12" t="s">
        <v>22</v>
      </c>
      <c r="D45" s="35" t="s">
        <v>58</v>
      </c>
      <c r="E45" s="12" t="s">
        <v>59</v>
      </c>
      <c r="F45" s="59">
        <f>67.41+33+15.9</f>
        <v>116.31</v>
      </c>
      <c r="G45" s="153">
        <v>63.71</v>
      </c>
      <c r="H45" s="153">
        <f t="shared" si="4"/>
        <v>81.54</v>
      </c>
      <c r="I45" s="183">
        <f t="shared" si="5"/>
        <v>9483.91</v>
      </c>
      <c r="J45" s="102"/>
      <c r="K45" s="6"/>
    </row>
    <row r="46" spans="1:11" ht="15">
      <c r="A46" s="81"/>
      <c r="B46" s="11">
        <v>87248</v>
      </c>
      <c r="C46" s="12" t="s">
        <v>22</v>
      </c>
      <c r="D46" s="35" t="s">
        <v>147</v>
      </c>
      <c r="E46" s="12" t="s">
        <v>37</v>
      </c>
      <c r="F46" s="59">
        <v>106.62</v>
      </c>
      <c r="G46" s="153">
        <v>25.42</v>
      </c>
      <c r="H46" s="153">
        <f t="shared" si="4"/>
        <v>32.53</v>
      </c>
      <c r="I46" s="183">
        <f t="shared" si="5"/>
        <v>3468.34</v>
      </c>
      <c r="J46" s="102"/>
      <c r="K46" s="6"/>
    </row>
    <row r="47" spans="1:11" ht="15">
      <c r="A47" s="81"/>
      <c r="B47" s="11" t="s">
        <v>150</v>
      </c>
      <c r="C47" s="12" t="s">
        <v>22</v>
      </c>
      <c r="D47" s="35" t="s">
        <v>151</v>
      </c>
      <c r="E47" s="12" t="s">
        <v>37</v>
      </c>
      <c r="F47" s="59">
        <v>67.65</v>
      </c>
      <c r="G47" s="153">
        <v>133.3</v>
      </c>
      <c r="H47" s="153">
        <f t="shared" si="4"/>
        <v>170.62</v>
      </c>
      <c r="I47" s="183">
        <f t="shared" si="5"/>
        <v>11542.44</v>
      </c>
      <c r="J47" s="102"/>
      <c r="K47" s="6"/>
    </row>
    <row r="48" spans="1:11" ht="15">
      <c r="A48" s="81" t="s">
        <v>71</v>
      </c>
      <c r="B48" s="11" t="s">
        <v>60</v>
      </c>
      <c r="C48" s="12" t="s">
        <v>22</v>
      </c>
      <c r="D48" s="35" t="s">
        <v>61</v>
      </c>
      <c r="E48" s="12" t="s">
        <v>37</v>
      </c>
      <c r="F48" s="59">
        <v>66.7</v>
      </c>
      <c r="G48" s="153">
        <v>30.81</v>
      </c>
      <c r="H48" s="153">
        <f t="shared" si="4"/>
        <v>39.43</v>
      </c>
      <c r="I48" s="183">
        <f t="shared" si="5"/>
        <v>2629.98</v>
      </c>
      <c r="J48" s="102"/>
      <c r="K48" s="6"/>
    </row>
    <row r="49" spans="1:11" ht="28.5">
      <c r="A49" s="81">
        <v>4.5</v>
      </c>
      <c r="B49" s="11" t="s">
        <v>82</v>
      </c>
      <c r="C49" s="12" t="s">
        <v>22</v>
      </c>
      <c r="D49" s="18" t="s">
        <v>83</v>
      </c>
      <c r="E49" s="12" t="s">
        <v>37</v>
      </c>
      <c r="F49" s="59">
        <v>87.31</v>
      </c>
      <c r="G49" s="153">
        <v>72.89</v>
      </c>
      <c r="H49" s="153">
        <f t="shared" si="4"/>
        <v>93.29</v>
      </c>
      <c r="I49" s="183">
        <f t="shared" si="5"/>
        <v>8145.14</v>
      </c>
      <c r="J49" s="102"/>
      <c r="K49" s="6"/>
    </row>
    <row r="50" spans="1:11" s="28" customFormat="1" ht="15">
      <c r="A50" s="236" t="s">
        <v>7</v>
      </c>
      <c r="B50" s="237"/>
      <c r="C50" s="237"/>
      <c r="D50" s="237"/>
      <c r="E50" s="237"/>
      <c r="F50" s="237"/>
      <c r="G50" s="238"/>
      <c r="H50" s="157"/>
      <c r="I50" s="182">
        <f>SUM(I43:I49)</f>
        <v>47589.33</v>
      </c>
      <c r="J50" s="101">
        <f>I50/$I$185</f>
        <v>0.08698001669495169</v>
      </c>
      <c r="K50" s="53"/>
    </row>
    <row r="51" spans="1:11" ht="15">
      <c r="A51" s="83"/>
      <c r="B51" s="44"/>
      <c r="C51" s="33"/>
      <c r="D51" s="33"/>
      <c r="E51" s="33"/>
      <c r="F51" s="45"/>
      <c r="G51" s="154"/>
      <c r="H51" s="154"/>
      <c r="I51" s="179"/>
      <c r="J51" s="102"/>
      <c r="K51" s="6"/>
    </row>
    <row r="52" spans="1:11" ht="15">
      <c r="A52" s="79">
        <v>5</v>
      </c>
      <c r="B52" s="36"/>
      <c r="C52" s="37"/>
      <c r="D52" s="38" t="s">
        <v>85</v>
      </c>
      <c r="E52" s="42"/>
      <c r="F52" s="43"/>
      <c r="G52" s="155"/>
      <c r="H52" s="155"/>
      <c r="I52" s="180"/>
      <c r="J52" s="102"/>
      <c r="K52" s="6"/>
    </row>
    <row r="53" spans="1:13" ht="15">
      <c r="A53" s="80" t="s">
        <v>72</v>
      </c>
      <c r="B53" s="55">
        <v>72132</v>
      </c>
      <c r="C53" s="54" t="s">
        <v>22</v>
      </c>
      <c r="D53" s="56" t="s">
        <v>152</v>
      </c>
      <c r="E53" s="57" t="s">
        <v>37</v>
      </c>
      <c r="F53" s="58">
        <v>344.31</v>
      </c>
      <c r="G53" s="156">
        <v>51.22</v>
      </c>
      <c r="H53" s="167">
        <f>ROUNDDOWN(G53*(1+$I$8),2)</f>
        <v>65.56</v>
      </c>
      <c r="I53" s="181">
        <f>TRUNC(F53*H53,2)</f>
        <v>22572.96</v>
      </c>
      <c r="J53" s="102"/>
      <c r="K53" s="6"/>
      <c r="M53" s="22"/>
    </row>
    <row r="54" spans="1:13" ht="15">
      <c r="A54" s="80">
        <v>5.2</v>
      </c>
      <c r="B54" s="55" t="s">
        <v>153</v>
      </c>
      <c r="C54" s="54" t="s">
        <v>22</v>
      </c>
      <c r="D54" s="56" t="s">
        <v>154</v>
      </c>
      <c r="E54" s="57" t="s">
        <v>37</v>
      </c>
      <c r="F54" s="58">
        <v>344.31</v>
      </c>
      <c r="G54" s="156">
        <v>13.21</v>
      </c>
      <c r="H54" s="167">
        <f>ROUNDDOWN(G54*(1+$I$8),2)</f>
        <v>16.9</v>
      </c>
      <c r="I54" s="181">
        <f>TRUNC(F54*H54,2)</f>
        <v>5818.83</v>
      </c>
      <c r="J54" s="102"/>
      <c r="K54" s="6"/>
      <c r="L54" s="148"/>
      <c r="M54" s="22"/>
    </row>
    <row r="55" spans="1:13" ht="28.5">
      <c r="A55" s="80">
        <v>5.3</v>
      </c>
      <c r="B55" s="55" t="s">
        <v>89</v>
      </c>
      <c r="C55" s="54" t="s">
        <v>22</v>
      </c>
      <c r="D55" s="56" t="s">
        <v>155</v>
      </c>
      <c r="E55" s="57" t="s">
        <v>16</v>
      </c>
      <c r="F55" s="58">
        <v>71.94</v>
      </c>
      <c r="G55" s="156">
        <v>12.8</v>
      </c>
      <c r="H55" s="167">
        <f>ROUNDDOWN(G55*(1+$I$8),2)</f>
        <v>16.38</v>
      </c>
      <c r="I55" s="181">
        <f>TRUNC(F55*H55,2)</f>
        <v>1178.37</v>
      </c>
      <c r="J55" s="102"/>
      <c r="K55" s="6"/>
      <c r="M55" s="22"/>
    </row>
    <row r="56" spans="1:12" ht="15">
      <c r="A56" s="80">
        <v>5.4</v>
      </c>
      <c r="B56" s="55" t="s">
        <v>141</v>
      </c>
      <c r="C56" s="54" t="s">
        <v>22</v>
      </c>
      <c r="D56" s="56" t="s">
        <v>90</v>
      </c>
      <c r="E56" s="57" t="s">
        <v>37</v>
      </c>
      <c r="F56" s="58">
        <v>16.46</v>
      </c>
      <c r="G56" s="156">
        <v>216.32</v>
      </c>
      <c r="H56" s="167">
        <f>ROUNDDOWN(G56*(1+$I$8),2)</f>
        <v>276.88</v>
      </c>
      <c r="I56" s="181">
        <f>TRUNC(F56*H56,2)</f>
        <v>4557.44</v>
      </c>
      <c r="J56" s="102"/>
      <c r="K56" s="6"/>
      <c r="L56" s="149"/>
    </row>
    <row r="57" spans="1:10" ht="13.5" customHeight="1">
      <c r="A57" s="236" t="s">
        <v>7</v>
      </c>
      <c r="B57" s="237"/>
      <c r="C57" s="237"/>
      <c r="D57" s="237"/>
      <c r="E57" s="237"/>
      <c r="F57" s="237"/>
      <c r="G57" s="238"/>
      <c r="H57" s="168"/>
      <c r="I57" s="178">
        <f>SUM(I53:I56)</f>
        <v>34127.6</v>
      </c>
      <c r="J57" s="101">
        <f>I57/$I$185</f>
        <v>0.0623757303949989</v>
      </c>
    </row>
    <row r="58" spans="1:10" ht="15">
      <c r="A58" s="83"/>
      <c r="B58" s="44"/>
      <c r="C58" s="33"/>
      <c r="D58" s="33"/>
      <c r="E58" s="33"/>
      <c r="F58" s="45"/>
      <c r="G58" s="154"/>
      <c r="H58" s="154"/>
      <c r="I58" s="179"/>
      <c r="J58" s="102"/>
    </row>
    <row r="59" spans="1:12" ht="15">
      <c r="A59" s="89">
        <v>6</v>
      </c>
      <c r="B59" s="36"/>
      <c r="C59" s="37"/>
      <c r="D59" s="38" t="s">
        <v>1</v>
      </c>
      <c r="E59" s="39"/>
      <c r="F59" s="49"/>
      <c r="G59" s="151"/>
      <c r="H59" s="151"/>
      <c r="I59" s="176"/>
      <c r="J59" s="102"/>
      <c r="K59" s="6"/>
      <c r="L59" s="19"/>
    </row>
    <row r="60" spans="1:11" ht="15">
      <c r="A60" s="81">
        <v>6.1</v>
      </c>
      <c r="B60" s="11">
        <v>87264</v>
      </c>
      <c r="C60" s="12" t="s">
        <v>22</v>
      </c>
      <c r="D60" s="18" t="s">
        <v>54</v>
      </c>
      <c r="E60" s="13" t="s">
        <v>37</v>
      </c>
      <c r="F60" s="14">
        <v>49.6</v>
      </c>
      <c r="G60" s="152">
        <v>48.98</v>
      </c>
      <c r="H60" s="152">
        <f>ROUNDDOWN(G60*(1+$I$8),2)</f>
        <v>62.69</v>
      </c>
      <c r="I60" s="177">
        <f>TRUNC(F60*H60,2)</f>
        <v>3109.42</v>
      </c>
      <c r="J60" s="102"/>
      <c r="K60" s="6"/>
    </row>
    <row r="61" spans="1:11" ht="15">
      <c r="A61" s="81">
        <v>6.2</v>
      </c>
      <c r="B61" s="11">
        <v>84090</v>
      </c>
      <c r="C61" s="12" t="s">
        <v>22</v>
      </c>
      <c r="D61" s="18" t="s">
        <v>156</v>
      </c>
      <c r="E61" s="13" t="s">
        <v>37</v>
      </c>
      <c r="F61" s="14">
        <f>280-67.65</f>
        <v>212.35</v>
      </c>
      <c r="G61" s="152">
        <v>70.24</v>
      </c>
      <c r="H61" s="152">
        <f>ROUNDDOWN(G61*(1+$I$8),2)</f>
        <v>89.9</v>
      </c>
      <c r="I61" s="177">
        <f>TRUNC(F61*H61,2)</f>
        <v>19090.26</v>
      </c>
      <c r="J61" s="102"/>
      <c r="K61" s="6"/>
    </row>
    <row r="62" spans="1:11" ht="15">
      <c r="A62" s="81">
        <v>6.3</v>
      </c>
      <c r="B62" s="11" t="s">
        <v>252</v>
      </c>
      <c r="C62" s="12"/>
      <c r="D62" s="18" t="s">
        <v>254</v>
      </c>
      <c r="E62" s="13" t="s">
        <v>37</v>
      </c>
      <c r="F62" s="14">
        <v>67.65</v>
      </c>
      <c r="G62" s="230">
        <v>160</v>
      </c>
      <c r="H62" s="152">
        <f>ROUNDDOWN(G62*(1+$I$8),2)</f>
        <v>204.8</v>
      </c>
      <c r="I62" s="177">
        <f>TRUNC(F62*H62,2)</f>
        <v>13854.72</v>
      </c>
      <c r="J62" s="102"/>
      <c r="K62" s="6"/>
    </row>
    <row r="63" spans="1:11" ht="15">
      <c r="A63" s="81">
        <v>6.4</v>
      </c>
      <c r="B63" s="11" t="s">
        <v>252</v>
      </c>
      <c r="C63" s="12"/>
      <c r="D63" s="18" t="s">
        <v>253</v>
      </c>
      <c r="E63" s="13" t="s">
        <v>37</v>
      </c>
      <c r="F63" s="14">
        <v>112.41</v>
      </c>
      <c r="G63" s="230">
        <v>220</v>
      </c>
      <c r="H63" s="152">
        <f>ROUNDDOWN(G63*(1+$I$8),2)</f>
        <v>281.6</v>
      </c>
      <c r="I63" s="177">
        <f>TRUNC(F63*H63,2)</f>
        <v>31654.65</v>
      </c>
      <c r="J63" s="102"/>
      <c r="K63" s="6"/>
    </row>
    <row r="64" spans="1:11" ht="15">
      <c r="A64" s="231" t="s">
        <v>7</v>
      </c>
      <c r="B64" s="232"/>
      <c r="C64" s="232"/>
      <c r="D64" s="232"/>
      <c r="E64" s="232"/>
      <c r="F64" s="232"/>
      <c r="G64" s="232"/>
      <c r="H64" s="168"/>
      <c r="I64" s="178">
        <f>SUM(I60:I61)</f>
        <v>22199.68</v>
      </c>
      <c r="J64" s="101">
        <f>I64/I185</f>
        <v>0.04057482080589462</v>
      </c>
      <c r="K64" s="6"/>
    </row>
    <row r="65" spans="1:11" ht="15">
      <c r="A65" s="83"/>
      <c r="B65" s="44"/>
      <c r="C65" s="33"/>
      <c r="D65" s="33"/>
      <c r="E65" s="33"/>
      <c r="F65" s="45"/>
      <c r="G65" s="154"/>
      <c r="H65" s="154"/>
      <c r="I65" s="179"/>
      <c r="J65" s="102"/>
      <c r="K65" s="6"/>
    </row>
    <row r="66" spans="1:11" ht="15">
      <c r="A66" s="91">
        <v>8</v>
      </c>
      <c r="B66" s="31"/>
      <c r="C66" s="31"/>
      <c r="D66" s="32" t="s">
        <v>38</v>
      </c>
      <c r="E66" s="31"/>
      <c r="F66" s="31"/>
      <c r="G66" s="158"/>
      <c r="H66" s="158"/>
      <c r="I66" s="176"/>
      <c r="J66" s="102"/>
      <c r="K66" s="6"/>
    </row>
    <row r="67" spans="1:11" ht="15">
      <c r="A67" s="93">
        <v>8.1</v>
      </c>
      <c r="B67" s="21">
        <v>74071</v>
      </c>
      <c r="C67" s="68" t="s">
        <v>22</v>
      </c>
      <c r="D67" s="20" t="s">
        <v>157</v>
      </c>
      <c r="E67" s="68" t="s">
        <v>37</v>
      </c>
      <c r="F67" s="30">
        <v>8.82</v>
      </c>
      <c r="G67" s="159">
        <v>1077.56</v>
      </c>
      <c r="H67" s="162">
        <f aca="true" t="shared" si="6" ref="H67:H77">ROUNDDOWN(G67*(1+$I$8),2)</f>
        <v>1379.27</v>
      </c>
      <c r="I67" s="184">
        <f aca="true" t="shared" si="7" ref="I67:I77">TRUNC(F67*H67,2)</f>
        <v>12165.16</v>
      </c>
      <c r="J67" s="102"/>
      <c r="K67" s="6"/>
    </row>
    <row r="68" spans="1:11" ht="15">
      <c r="A68" s="93">
        <v>8.2</v>
      </c>
      <c r="B68" s="21" t="s">
        <v>161</v>
      </c>
      <c r="C68" s="68" t="s">
        <v>22</v>
      </c>
      <c r="D68" s="20" t="s">
        <v>158</v>
      </c>
      <c r="E68" s="68" t="s">
        <v>45</v>
      </c>
      <c r="F68" s="30">
        <v>6</v>
      </c>
      <c r="G68" s="159">
        <v>428.33</v>
      </c>
      <c r="H68" s="162">
        <f t="shared" si="6"/>
        <v>548.26</v>
      </c>
      <c r="I68" s="184">
        <f t="shared" si="7"/>
        <v>3289.56</v>
      </c>
      <c r="J68" s="102"/>
      <c r="K68" s="6"/>
    </row>
    <row r="69" spans="1:11" ht="15">
      <c r="A69" s="93">
        <v>8.3</v>
      </c>
      <c r="B69" s="21" t="s">
        <v>162</v>
      </c>
      <c r="C69" s="68" t="s">
        <v>22</v>
      </c>
      <c r="D69" s="20" t="s">
        <v>159</v>
      </c>
      <c r="E69" s="68" t="s">
        <v>45</v>
      </c>
      <c r="F69" s="30">
        <v>2</v>
      </c>
      <c r="G69" s="159">
        <v>396.33</v>
      </c>
      <c r="H69" s="162">
        <f t="shared" si="6"/>
        <v>507.3</v>
      </c>
      <c r="I69" s="184">
        <f t="shared" si="7"/>
        <v>1014.6</v>
      </c>
      <c r="J69" s="102"/>
      <c r="K69" s="6"/>
    </row>
    <row r="70" spans="1:11" ht="15">
      <c r="A70" s="93">
        <v>8.4</v>
      </c>
      <c r="B70" s="21">
        <v>84875</v>
      </c>
      <c r="C70" s="68" t="s">
        <v>22</v>
      </c>
      <c r="D70" s="20" t="s">
        <v>160</v>
      </c>
      <c r="E70" s="68" t="s">
        <v>37</v>
      </c>
      <c r="F70" s="30">
        <v>3.78</v>
      </c>
      <c r="G70" s="159">
        <v>514.51</v>
      </c>
      <c r="H70" s="162">
        <f t="shared" si="6"/>
        <v>658.57</v>
      </c>
      <c r="I70" s="184">
        <f t="shared" si="7"/>
        <v>2489.39</v>
      </c>
      <c r="J70" s="102"/>
      <c r="K70" s="6"/>
    </row>
    <row r="71" spans="1:11" ht="15">
      <c r="A71" s="93">
        <v>8.5</v>
      </c>
      <c r="B71" s="21">
        <v>68050</v>
      </c>
      <c r="C71" s="68" t="s">
        <v>22</v>
      </c>
      <c r="D71" s="20" t="s">
        <v>164</v>
      </c>
      <c r="E71" s="68" t="s">
        <v>37</v>
      </c>
      <c r="F71" s="30">
        <f>7.93+8.1</f>
        <v>16.03</v>
      </c>
      <c r="G71" s="159">
        <v>832.4</v>
      </c>
      <c r="H71" s="162">
        <f t="shared" si="6"/>
        <v>1065.47</v>
      </c>
      <c r="I71" s="152">
        <f t="shared" si="7"/>
        <v>17079.48</v>
      </c>
      <c r="J71" s="102"/>
      <c r="K71" s="6"/>
    </row>
    <row r="72" spans="1:11" ht="15">
      <c r="A72" s="93">
        <v>8.6</v>
      </c>
      <c r="B72" s="21">
        <v>84875</v>
      </c>
      <c r="C72" s="68" t="s">
        <v>22</v>
      </c>
      <c r="D72" s="20" t="s">
        <v>165</v>
      </c>
      <c r="E72" s="68" t="s">
        <v>37</v>
      </c>
      <c r="F72" s="30">
        <v>3.15</v>
      </c>
      <c r="G72" s="159">
        <v>514.51</v>
      </c>
      <c r="H72" s="162">
        <f t="shared" si="6"/>
        <v>658.57</v>
      </c>
      <c r="I72" s="152">
        <f t="shared" si="7"/>
        <v>2074.49</v>
      </c>
      <c r="J72" s="102"/>
      <c r="K72" s="6"/>
    </row>
    <row r="73" spans="1:11" ht="28.5">
      <c r="A73" s="93">
        <v>8.7</v>
      </c>
      <c r="B73" s="21" t="s">
        <v>246</v>
      </c>
      <c r="C73" s="68" t="s">
        <v>22</v>
      </c>
      <c r="D73" s="20" t="s">
        <v>245</v>
      </c>
      <c r="E73" s="68" t="s">
        <v>45</v>
      </c>
      <c r="F73" s="30">
        <v>4</v>
      </c>
      <c r="G73" s="159">
        <v>5657.19</v>
      </c>
      <c r="H73" s="162">
        <f t="shared" si="6"/>
        <v>7241.2</v>
      </c>
      <c r="I73" s="152">
        <f t="shared" si="7"/>
        <v>28964.8</v>
      </c>
      <c r="J73" s="102"/>
      <c r="K73" s="6"/>
    </row>
    <row r="74" spans="1:11" ht="15">
      <c r="A74" s="93">
        <v>8.8</v>
      </c>
      <c r="B74" s="21" t="s">
        <v>248</v>
      </c>
      <c r="C74" s="68" t="s">
        <v>22</v>
      </c>
      <c r="D74" s="20" t="s">
        <v>247</v>
      </c>
      <c r="E74" s="68" t="s">
        <v>37</v>
      </c>
      <c r="F74" s="30">
        <v>6.3</v>
      </c>
      <c r="G74" s="159">
        <v>874.62</v>
      </c>
      <c r="H74" s="162">
        <f t="shared" si="6"/>
        <v>1119.51</v>
      </c>
      <c r="I74" s="152">
        <f t="shared" si="7"/>
        <v>7052.91</v>
      </c>
      <c r="J74" s="102"/>
      <c r="K74" s="6"/>
    </row>
    <row r="75" spans="1:11" ht="28.5">
      <c r="A75" s="93">
        <v>8.9</v>
      </c>
      <c r="B75" s="21" t="s">
        <v>166</v>
      </c>
      <c r="C75" s="68" t="s">
        <v>22</v>
      </c>
      <c r="D75" s="20" t="s">
        <v>167</v>
      </c>
      <c r="E75" s="68" t="s">
        <v>45</v>
      </c>
      <c r="F75" s="30">
        <v>9</v>
      </c>
      <c r="G75" s="159">
        <v>3237.96</v>
      </c>
      <c r="H75" s="162">
        <f t="shared" si="6"/>
        <v>4144.58</v>
      </c>
      <c r="I75" s="152">
        <f t="shared" si="7"/>
        <v>37301.22</v>
      </c>
      <c r="J75" s="102"/>
      <c r="K75" s="6"/>
    </row>
    <row r="76" spans="1:11" ht="15">
      <c r="A76" s="222">
        <v>8.1</v>
      </c>
      <c r="B76" s="21" t="s">
        <v>168</v>
      </c>
      <c r="C76" s="68" t="s">
        <v>22</v>
      </c>
      <c r="D76" s="20" t="s">
        <v>169</v>
      </c>
      <c r="E76" s="68" t="s">
        <v>37</v>
      </c>
      <c r="F76" s="30">
        <v>12.6</v>
      </c>
      <c r="G76" s="159">
        <v>767.57</v>
      </c>
      <c r="H76" s="162">
        <f t="shared" si="6"/>
        <v>982.48</v>
      </c>
      <c r="I76" s="152">
        <f t="shared" si="7"/>
        <v>12379.24</v>
      </c>
      <c r="J76" s="102"/>
      <c r="K76" s="6"/>
    </row>
    <row r="77" spans="1:11" ht="15">
      <c r="A77" s="222">
        <v>8.11</v>
      </c>
      <c r="B77" s="21">
        <v>84088</v>
      </c>
      <c r="C77" s="68" t="s">
        <v>22</v>
      </c>
      <c r="D77" s="20" t="s">
        <v>244</v>
      </c>
      <c r="E77" s="68" t="s">
        <v>16</v>
      </c>
      <c r="F77" s="30">
        <v>10</v>
      </c>
      <c r="G77" s="159">
        <v>52.88</v>
      </c>
      <c r="H77" s="169">
        <f t="shared" si="6"/>
        <v>67.68</v>
      </c>
      <c r="I77" s="152">
        <f t="shared" si="7"/>
        <v>676.8</v>
      </c>
      <c r="J77" s="102"/>
      <c r="K77" s="6"/>
    </row>
    <row r="78" spans="1:11" ht="15">
      <c r="A78" s="231" t="s">
        <v>7</v>
      </c>
      <c r="B78" s="232"/>
      <c r="C78" s="232"/>
      <c r="D78" s="232"/>
      <c r="E78" s="232"/>
      <c r="F78" s="232"/>
      <c r="G78" s="232"/>
      <c r="H78" s="168"/>
      <c r="I78" s="185">
        <f>SUM(I67:I77)</f>
        <v>124487.65000000001</v>
      </c>
      <c r="J78" s="101">
        <f>I78/$I$185</f>
        <v>0.22752868921069708</v>
      </c>
      <c r="K78" s="6"/>
    </row>
    <row r="79" spans="1:11" ht="17.25" customHeight="1">
      <c r="A79" s="94"/>
      <c r="B79" s="15"/>
      <c r="C79" s="16">
        <v>0</v>
      </c>
      <c r="D79" s="16"/>
      <c r="E79" s="16"/>
      <c r="F79" s="17"/>
      <c r="G79" s="160"/>
      <c r="H79" s="160"/>
      <c r="I79" s="186"/>
      <c r="J79" s="102"/>
      <c r="K79" s="6"/>
    </row>
    <row r="80" spans="1:11" ht="13.5" customHeight="1">
      <c r="A80" s="95">
        <v>9</v>
      </c>
      <c r="B80" s="36"/>
      <c r="C80" s="41"/>
      <c r="D80" s="38" t="s">
        <v>14</v>
      </c>
      <c r="E80" s="42"/>
      <c r="F80" s="43"/>
      <c r="G80" s="155"/>
      <c r="H80" s="155"/>
      <c r="I80" s="180"/>
      <c r="J80" s="102"/>
      <c r="K80" s="6"/>
    </row>
    <row r="81" spans="1:11" ht="15">
      <c r="A81" s="81">
        <v>9.1</v>
      </c>
      <c r="B81" s="11" t="s">
        <v>171</v>
      </c>
      <c r="C81" s="12" t="s">
        <v>22</v>
      </c>
      <c r="D81" s="67" t="s">
        <v>172</v>
      </c>
      <c r="E81" s="69" t="s">
        <v>45</v>
      </c>
      <c r="F81" s="63">
        <v>8</v>
      </c>
      <c r="G81" s="150">
        <v>2363.22</v>
      </c>
      <c r="H81" s="152">
        <f>ROUNDDOWN(G81*(1+$I$8),2)</f>
        <v>3024.92</v>
      </c>
      <c r="I81" s="177">
        <f>TRUNC(F81*H81,2)</f>
        <v>24199.36</v>
      </c>
      <c r="J81" s="102"/>
      <c r="K81" s="6"/>
    </row>
    <row r="82" spans="1:11" ht="15">
      <c r="A82" s="81">
        <v>9.2</v>
      </c>
      <c r="B82" s="11" t="s">
        <v>173</v>
      </c>
      <c r="C82" s="12" t="s">
        <v>22</v>
      </c>
      <c r="D82" s="67" t="s">
        <v>174</v>
      </c>
      <c r="E82" s="69" t="s">
        <v>37</v>
      </c>
      <c r="F82" s="63">
        <v>362.89</v>
      </c>
      <c r="G82" s="150">
        <v>62.22</v>
      </c>
      <c r="H82" s="152">
        <f>ROUNDDOWN(G82*(1+$I$8),2)</f>
        <v>79.64</v>
      </c>
      <c r="I82" s="177">
        <f>TRUNC(F82*H82,2)</f>
        <v>28900.55</v>
      </c>
      <c r="J82" s="102"/>
      <c r="K82" s="6"/>
    </row>
    <row r="83" spans="1:11" ht="15">
      <c r="A83" s="81">
        <v>9.3</v>
      </c>
      <c r="B83" s="11">
        <v>55960</v>
      </c>
      <c r="C83" s="12" t="s">
        <v>22</v>
      </c>
      <c r="D83" s="67" t="s">
        <v>170</v>
      </c>
      <c r="E83" s="69" t="s">
        <v>37</v>
      </c>
      <c r="F83" s="63">
        <v>362.89</v>
      </c>
      <c r="G83" s="150">
        <v>4.7</v>
      </c>
      <c r="H83" s="152">
        <f>ROUNDDOWN(G83*(1+$I$8),2)</f>
        <v>6.01</v>
      </c>
      <c r="I83" s="177">
        <f>TRUNC(F83*H83,2)</f>
        <v>2180.96</v>
      </c>
      <c r="J83" s="102"/>
      <c r="K83" s="6"/>
    </row>
    <row r="84" spans="1:11" ht="15">
      <c r="A84" s="81" t="s">
        <v>249</v>
      </c>
      <c r="B84" s="11" t="s">
        <v>175</v>
      </c>
      <c r="C84" s="12" t="s">
        <v>22</v>
      </c>
      <c r="D84" s="67" t="s">
        <v>176</v>
      </c>
      <c r="E84" s="69" t="s">
        <v>37</v>
      </c>
      <c r="F84" s="63">
        <v>362.89</v>
      </c>
      <c r="G84" s="150">
        <v>66.48</v>
      </c>
      <c r="H84" s="152">
        <f>ROUNDDOWN(G84*(1+$I$8),2)</f>
        <v>85.09</v>
      </c>
      <c r="I84" s="177">
        <f>TRUNC(F84*H84,2)</f>
        <v>30878.31</v>
      </c>
      <c r="J84" s="102"/>
      <c r="K84" s="6"/>
    </row>
    <row r="85" spans="1:11" ht="15">
      <c r="A85" s="231" t="s">
        <v>7</v>
      </c>
      <c r="B85" s="232"/>
      <c r="C85" s="232"/>
      <c r="D85" s="232"/>
      <c r="E85" s="232"/>
      <c r="F85" s="232"/>
      <c r="G85" s="232"/>
      <c r="H85" s="168"/>
      <c r="I85" s="178">
        <f>SUM(I81:I84)</f>
        <v>86159.18000000001</v>
      </c>
      <c r="J85" s="101">
        <f>I85/$I$185</f>
        <v>0.15747494059746897</v>
      </c>
      <c r="K85" s="6"/>
    </row>
    <row r="86" spans="1:11" ht="15">
      <c r="A86" s="258"/>
      <c r="B86" s="259"/>
      <c r="C86" s="259"/>
      <c r="D86" s="259"/>
      <c r="E86" s="259"/>
      <c r="F86" s="259"/>
      <c r="G86" s="259"/>
      <c r="H86" s="259"/>
      <c r="I86" s="260"/>
      <c r="J86" s="102"/>
      <c r="K86" s="6"/>
    </row>
    <row r="87" spans="1:11" ht="15">
      <c r="A87" s="89">
        <v>10</v>
      </c>
      <c r="B87" s="36"/>
      <c r="C87" s="37"/>
      <c r="D87" s="38" t="s">
        <v>2</v>
      </c>
      <c r="E87" s="39"/>
      <c r="F87" s="40"/>
      <c r="G87" s="151"/>
      <c r="H87" s="151"/>
      <c r="I87" s="176"/>
      <c r="J87" s="102"/>
      <c r="K87" s="6"/>
    </row>
    <row r="88" spans="1:11" ht="15">
      <c r="A88" s="81">
        <v>10.1</v>
      </c>
      <c r="B88" s="11" t="s">
        <v>119</v>
      </c>
      <c r="C88" s="12" t="s">
        <v>22</v>
      </c>
      <c r="D88" s="20" t="s">
        <v>118</v>
      </c>
      <c r="E88" s="21" t="s">
        <v>16</v>
      </c>
      <c r="F88" s="30">
        <f>107.3+63.1</f>
        <v>170.4</v>
      </c>
      <c r="G88" s="161">
        <v>1.99</v>
      </c>
      <c r="H88" s="161">
        <f>ROUNDDOWN(G88*(1+$I$8),2)</f>
        <v>2.54</v>
      </c>
      <c r="I88" s="181">
        <f>TRUNC(F88*H88,2)</f>
        <v>432.81</v>
      </c>
      <c r="J88" s="102"/>
      <c r="K88" s="6"/>
    </row>
    <row r="89" spans="1:11" ht="15">
      <c r="A89" s="96">
        <v>10.2</v>
      </c>
      <c r="B89" s="70" t="s">
        <v>21</v>
      </c>
      <c r="C89" s="70" t="s">
        <v>22</v>
      </c>
      <c r="D89" s="71" t="s">
        <v>46</v>
      </c>
      <c r="E89" s="70" t="s">
        <v>16</v>
      </c>
      <c r="F89" s="72">
        <v>1093.8</v>
      </c>
      <c r="G89" s="161">
        <v>2.53</v>
      </c>
      <c r="H89" s="161">
        <f aca="true" t="shared" si="8" ref="H89:H107">ROUNDDOWN(G89*(1+$I$8),2)</f>
        <v>3.23</v>
      </c>
      <c r="I89" s="181">
        <f aca="true" t="shared" si="9" ref="I89:I107">TRUNC(F89*H89,2)</f>
        <v>3532.97</v>
      </c>
      <c r="J89" s="102"/>
      <c r="K89" s="6"/>
    </row>
    <row r="90" spans="1:11" ht="15">
      <c r="A90" s="92">
        <v>10.3</v>
      </c>
      <c r="B90" s="21" t="s">
        <v>47</v>
      </c>
      <c r="C90" s="21" t="s">
        <v>22</v>
      </c>
      <c r="D90" s="20" t="s">
        <v>76</v>
      </c>
      <c r="E90" s="70" t="s">
        <v>16</v>
      </c>
      <c r="F90" s="72">
        <v>478.9</v>
      </c>
      <c r="G90" s="161">
        <v>3.69</v>
      </c>
      <c r="H90" s="161">
        <f t="shared" si="8"/>
        <v>4.72</v>
      </c>
      <c r="I90" s="181">
        <f t="shared" si="9"/>
        <v>2260.4</v>
      </c>
      <c r="J90" s="102"/>
      <c r="K90" s="6"/>
    </row>
    <row r="91" spans="1:11" ht="15">
      <c r="A91" s="96">
        <v>10.4</v>
      </c>
      <c r="B91" s="21" t="s">
        <v>48</v>
      </c>
      <c r="C91" s="21" t="s">
        <v>22</v>
      </c>
      <c r="D91" s="20" t="s">
        <v>77</v>
      </c>
      <c r="E91" s="70" t="s">
        <v>16</v>
      </c>
      <c r="F91" s="72">
        <v>48.9</v>
      </c>
      <c r="G91" s="161">
        <v>4.98</v>
      </c>
      <c r="H91" s="161">
        <f t="shared" si="8"/>
        <v>6.37</v>
      </c>
      <c r="I91" s="181">
        <f t="shared" si="9"/>
        <v>311.49</v>
      </c>
      <c r="J91" s="102"/>
      <c r="K91" s="6"/>
    </row>
    <row r="92" spans="1:11" ht="15">
      <c r="A92" s="96">
        <v>10.5</v>
      </c>
      <c r="B92" s="70">
        <v>73935</v>
      </c>
      <c r="C92" s="70" t="s">
        <v>22</v>
      </c>
      <c r="D92" s="71" t="s">
        <v>122</v>
      </c>
      <c r="E92" s="70" t="s">
        <v>16</v>
      </c>
      <c r="F92" s="72">
        <v>404.7</v>
      </c>
      <c r="G92" s="161">
        <v>5.82</v>
      </c>
      <c r="H92" s="161">
        <f t="shared" si="8"/>
        <v>7.44</v>
      </c>
      <c r="I92" s="181">
        <f t="shared" si="9"/>
        <v>3010.96</v>
      </c>
      <c r="J92" s="102"/>
      <c r="K92" s="6"/>
    </row>
    <row r="93" spans="1:11" ht="15">
      <c r="A93" s="96">
        <v>10.6</v>
      </c>
      <c r="B93" s="70">
        <v>83387</v>
      </c>
      <c r="C93" s="70" t="s">
        <v>22</v>
      </c>
      <c r="D93" s="71" t="s">
        <v>120</v>
      </c>
      <c r="E93" s="70" t="s">
        <v>45</v>
      </c>
      <c r="F93" s="72">
        <v>79</v>
      </c>
      <c r="G93" s="161">
        <v>5.78</v>
      </c>
      <c r="H93" s="161">
        <f t="shared" si="8"/>
        <v>7.39</v>
      </c>
      <c r="I93" s="181">
        <f t="shared" si="9"/>
        <v>583.81</v>
      </c>
      <c r="J93" s="102"/>
      <c r="K93" s="6"/>
    </row>
    <row r="94" spans="1:11" ht="15">
      <c r="A94" s="96">
        <v>10.7</v>
      </c>
      <c r="B94" s="70">
        <v>83388</v>
      </c>
      <c r="C94" s="70" t="s">
        <v>22</v>
      </c>
      <c r="D94" s="71" t="s">
        <v>121</v>
      </c>
      <c r="E94" s="70" t="s">
        <v>45</v>
      </c>
      <c r="F94" s="72">
        <v>23</v>
      </c>
      <c r="G94" s="161">
        <v>9.13</v>
      </c>
      <c r="H94" s="161">
        <f t="shared" si="8"/>
        <v>11.68</v>
      </c>
      <c r="I94" s="181">
        <f t="shared" si="9"/>
        <v>268.64</v>
      </c>
      <c r="J94" s="102"/>
      <c r="K94" s="6"/>
    </row>
    <row r="95" spans="1:11" ht="15">
      <c r="A95" s="96">
        <v>10.8</v>
      </c>
      <c r="B95" s="70">
        <v>72335</v>
      </c>
      <c r="C95" s="70" t="s">
        <v>22</v>
      </c>
      <c r="D95" s="71" t="s">
        <v>123</v>
      </c>
      <c r="E95" s="70" t="s">
        <v>45</v>
      </c>
      <c r="F95" s="72">
        <f>10+52+13</f>
        <v>75</v>
      </c>
      <c r="G95" s="161">
        <v>2.63</v>
      </c>
      <c r="H95" s="161">
        <f t="shared" si="8"/>
        <v>3.36</v>
      </c>
      <c r="I95" s="181">
        <f t="shared" si="9"/>
        <v>252</v>
      </c>
      <c r="J95" s="102"/>
      <c r="K95" s="6"/>
    </row>
    <row r="96" spans="1:11" ht="15">
      <c r="A96" s="96">
        <v>10.9</v>
      </c>
      <c r="B96" s="70">
        <v>72331</v>
      </c>
      <c r="C96" s="70" t="s">
        <v>22</v>
      </c>
      <c r="D96" s="71" t="s">
        <v>124</v>
      </c>
      <c r="E96" s="70" t="s">
        <v>45</v>
      </c>
      <c r="F96" s="72">
        <v>10</v>
      </c>
      <c r="G96" s="161">
        <v>8.47</v>
      </c>
      <c r="H96" s="161">
        <f t="shared" si="8"/>
        <v>10.84</v>
      </c>
      <c r="I96" s="181">
        <f t="shared" si="9"/>
        <v>108.4</v>
      </c>
      <c r="J96" s="102"/>
      <c r="K96" s="6"/>
    </row>
    <row r="97" spans="1:11" ht="15">
      <c r="A97" s="97">
        <v>10.1</v>
      </c>
      <c r="B97" s="70">
        <v>72332</v>
      </c>
      <c r="C97" s="70" t="s">
        <v>22</v>
      </c>
      <c r="D97" s="71" t="s">
        <v>193</v>
      </c>
      <c r="E97" s="70" t="s">
        <v>45</v>
      </c>
      <c r="F97" s="72">
        <v>2</v>
      </c>
      <c r="G97" s="161">
        <v>16.01</v>
      </c>
      <c r="H97" s="161">
        <f t="shared" si="8"/>
        <v>20.49</v>
      </c>
      <c r="I97" s="181">
        <f t="shared" si="9"/>
        <v>40.98</v>
      </c>
      <c r="J97" s="102"/>
      <c r="K97" s="6"/>
    </row>
    <row r="98" spans="1:11" ht="15">
      <c r="A98" s="97">
        <v>10.11</v>
      </c>
      <c r="B98" s="70">
        <v>83540</v>
      </c>
      <c r="C98" s="70" t="s">
        <v>22</v>
      </c>
      <c r="D98" s="71" t="s">
        <v>125</v>
      </c>
      <c r="E98" s="70" t="s">
        <v>45</v>
      </c>
      <c r="F98" s="72">
        <f>8+44</f>
        <v>52</v>
      </c>
      <c r="G98" s="161">
        <v>10.1</v>
      </c>
      <c r="H98" s="161">
        <f t="shared" si="8"/>
        <v>12.92</v>
      </c>
      <c r="I98" s="181">
        <f t="shared" si="9"/>
        <v>671.84</v>
      </c>
      <c r="J98" s="102"/>
      <c r="K98" s="6"/>
    </row>
    <row r="99" spans="1:11" ht="15">
      <c r="A99" s="97">
        <v>10.12</v>
      </c>
      <c r="B99" s="70">
        <v>83566</v>
      </c>
      <c r="C99" s="70" t="s">
        <v>22</v>
      </c>
      <c r="D99" s="71" t="s">
        <v>126</v>
      </c>
      <c r="E99" s="70" t="s">
        <v>45</v>
      </c>
      <c r="F99" s="72">
        <v>13</v>
      </c>
      <c r="G99" s="161">
        <v>16</v>
      </c>
      <c r="H99" s="161">
        <f t="shared" si="8"/>
        <v>20.48</v>
      </c>
      <c r="I99" s="181">
        <f t="shared" si="9"/>
        <v>266.24</v>
      </c>
      <c r="J99" s="102"/>
      <c r="K99" s="6"/>
    </row>
    <row r="100" spans="1:11" ht="15">
      <c r="A100" s="97">
        <v>10.13</v>
      </c>
      <c r="B100" s="70">
        <v>72274</v>
      </c>
      <c r="C100" s="70" t="s">
        <v>22</v>
      </c>
      <c r="D100" s="71" t="s">
        <v>127</v>
      </c>
      <c r="E100" s="70" t="s">
        <v>45</v>
      </c>
      <c r="F100" s="72">
        <v>7</v>
      </c>
      <c r="G100" s="161">
        <v>2.37</v>
      </c>
      <c r="H100" s="161">
        <f t="shared" si="8"/>
        <v>3.03</v>
      </c>
      <c r="I100" s="181">
        <f t="shared" si="9"/>
        <v>21.21</v>
      </c>
      <c r="J100" s="102"/>
      <c r="K100" s="6"/>
    </row>
    <row r="101" spans="1:11" ht="28.5">
      <c r="A101" s="97">
        <v>10.14</v>
      </c>
      <c r="B101" s="70" t="s">
        <v>195</v>
      </c>
      <c r="C101" s="70" t="s">
        <v>22</v>
      </c>
      <c r="D101" s="71" t="s">
        <v>196</v>
      </c>
      <c r="E101" s="70" t="s">
        <v>45</v>
      </c>
      <c r="F101" s="72">
        <v>16</v>
      </c>
      <c r="G101" s="161">
        <v>104.11</v>
      </c>
      <c r="H101" s="161">
        <f t="shared" si="8"/>
        <v>133.26</v>
      </c>
      <c r="I101" s="181">
        <f t="shared" si="9"/>
        <v>2132.16</v>
      </c>
      <c r="J101" s="102"/>
      <c r="K101" s="6"/>
    </row>
    <row r="102" spans="1:11" ht="15">
      <c r="A102" s="97">
        <v>10.15</v>
      </c>
      <c r="B102" s="70">
        <v>83469</v>
      </c>
      <c r="C102" s="70" t="s">
        <v>22</v>
      </c>
      <c r="D102" s="71" t="s">
        <v>197</v>
      </c>
      <c r="E102" s="70" t="s">
        <v>45</v>
      </c>
      <c r="F102" s="72">
        <v>32</v>
      </c>
      <c r="G102" s="161">
        <v>4.54</v>
      </c>
      <c r="H102" s="161">
        <f t="shared" si="8"/>
        <v>5.81</v>
      </c>
      <c r="I102" s="181">
        <f t="shared" si="9"/>
        <v>185.92</v>
      </c>
      <c r="J102" s="102"/>
      <c r="K102" s="6"/>
    </row>
    <row r="103" spans="1:11" ht="15">
      <c r="A103" s="96">
        <v>10.16</v>
      </c>
      <c r="B103" s="70" t="s">
        <v>128</v>
      </c>
      <c r="C103" s="70" t="s">
        <v>22</v>
      </c>
      <c r="D103" s="71" t="s">
        <v>194</v>
      </c>
      <c r="E103" s="70" t="s">
        <v>45</v>
      </c>
      <c r="F103" s="72">
        <v>7</v>
      </c>
      <c r="G103" s="161">
        <v>39.9</v>
      </c>
      <c r="H103" s="161">
        <f t="shared" si="8"/>
        <v>51.07</v>
      </c>
      <c r="I103" s="181">
        <f t="shared" si="9"/>
        <v>357.49</v>
      </c>
      <c r="J103" s="102"/>
      <c r="K103" s="6"/>
    </row>
    <row r="104" spans="1:11" ht="15">
      <c r="A104" s="81">
        <v>10.17</v>
      </c>
      <c r="B104" s="11" t="s">
        <v>33</v>
      </c>
      <c r="C104" s="12" t="s">
        <v>22</v>
      </c>
      <c r="D104" s="20" t="s">
        <v>129</v>
      </c>
      <c r="E104" s="21" t="s">
        <v>45</v>
      </c>
      <c r="F104" s="30">
        <v>1</v>
      </c>
      <c r="G104" s="162">
        <v>9.53</v>
      </c>
      <c r="H104" s="162">
        <f t="shared" si="8"/>
        <v>12.19</v>
      </c>
      <c r="I104" s="177">
        <f t="shared" si="9"/>
        <v>12.19</v>
      </c>
      <c r="J104" s="102"/>
      <c r="K104" s="6"/>
    </row>
    <row r="105" spans="1:11" ht="15">
      <c r="A105" s="81">
        <v>10.18</v>
      </c>
      <c r="B105" s="11" t="s">
        <v>35</v>
      </c>
      <c r="C105" s="12" t="s">
        <v>22</v>
      </c>
      <c r="D105" s="20" t="s">
        <v>130</v>
      </c>
      <c r="E105" s="21" t="s">
        <v>45</v>
      </c>
      <c r="F105" s="30">
        <v>22</v>
      </c>
      <c r="G105" s="162">
        <v>43.84</v>
      </c>
      <c r="H105" s="162">
        <f t="shared" si="8"/>
        <v>56.11</v>
      </c>
      <c r="I105" s="177">
        <f t="shared" si="9"/>
        <v>1234.42</v>
      </c>
      <c r="J105" s="102"/>
      <c r="K105" s="6"/>
    </row>
    <row r="106" spans="1:11" ht="28.5">
      <c r="A106" s="81">
        <v>10.19</v>
      </c>
      <c r="B106" s="11" t="s">
        <v>191</v>
      </c>
      <c r="C106" s="12" t="s">
        <v>22</v>
      </c>
      <c r="D106" s="20" t="s">
        <v>192</v>
      </c>
      <c r="E106" s="21" t="s">
        <v>45</v>
      </c>
      <c r="F106" s="30">
        <v>2</v>
      </c>
      <c r="G106" s="162">
        <v>472.15</v>
      </c>
      <c r="H106" s="162">
        <f t="shared" si="8"/>
        <v>604.35</v>
      </c>
      <c r="I106" s="177">
        <f t="shared" si="9"/>
        <v>1208.7</v>
      </c>
      <c r="J106" s="102"/>
      <c r="K106" s="6"/>
    </row>
    <row r="107" spans="1:11" ht="15">
      <c r="A107" s="86">
        <v>10.2</v>
      </c>
      <c r="B107" s="11" t="s">
        <v>186</v>
      </c>
      <c r="C107" s="12" t="s">
        <v>84</v>
      </c>
      <c r="D107" s="20" t="s">
        <v>187</v>
      </c>
      <c r="E107" s="21" t="s">
        <v>45</v>
      </c>
      <c r="F107" s="30">
        <v>9</v>
      </c>
      <c r="G107" s="162">
        <v>185.54</v>
      </c>
      <c r="H107" s="169">
        <f t="shared" si="8"/>
        <v>237.49</v>
      </c>
      <c r="I107" s="177">
        <f t="shared" si="9"/>
        <v>2137.41</v>
      </c>
      <c r="J107" s="102"/>
      <c r="K107" s="6"/>
    </row>
    <row r="108" spans="1:11" ht="15">
      <c r="A108" s="231" t="s">
        <v>7</v>
      </c>
      <c r="B108" s="232"/>
      <c r="C108" s="232"/>
      <c r="D108" s="232"/>
      <c r="E108" s="232"/>
      <c r="F108" s="232"/>
      <c r="G108" s="232"/>
      <c r="H108" s="168"/>
      <c r="I108" s="185">
        <f>SUM(I88:I107)</f>
        <v>19030.039999999997</v>
      </c>
      <c r="J108" s="101">
        <f>I108/$I$185</f>
        <v>0.034781603290182865</v>
      </c>
      <c r="K108" s="6"/>
    </row>
    <row r="109" spans="1:11" ht="15">
      <c r="A109" s="195"/>
      <c r="B109" s="196"/>
      <c r="C109" s="196"/>
      <c r="D109" s="196"/>
      <c r="E109" s="196"/>
      <c r="F109" s="196"/>
      <c r="G109" s="196"/>
      <c r="H109" s="197"/>
      <c r="I109" s="198"/>
      <c r="J109" s="101"/>
      <c r="K109" s="6"/>
    </row>
    <row r="110" spans="1:11" ht="15">
      <c r="A110" s="208">
        <v>11</v>
      </c>
      <c r="B110" s="192"/>
      <c r="C110" s="192"/>
      <c r="D110" s="209" t="s">
        <v>214</v>
      </c>
      <c r="E110" s="192"/>
      <c r="F110" s="192"/>
      <c r="G110" s="192"/>
      <c r="H110" s="193"/>
      <c r="I110" s="194"/>
      <c r="J110" s="101"/>
      <c r="K110" s="6"/>
    </row>
    <row r="111" spans="1:11" ht="15">
      <c r="A111" s="199">
        <v>11.1</v>
      </c>
      <c r="B111" s="200">
        <v>72263</v>
      </c>
      <c r="C111" s="201" t="s">
        <v>22</v>
      </c>
      <c r="D111" s="202" t="s">
        <v>202</v>
      </c>
      <c r="E111" s="201" t="s">
        <v>45</v>
      </c>
      <c r="F111" s="203">
        <v>100</v>
      </c>
      <c r="G111" s="204">
        <v>15.45</v>
      </c>
      <c r="H111" s="29">
        <f>ROUNDDOWN(G111*(1+$I$8),2)</f>
        <v>19.77</v>
      </c>
      <c r="I111" s="82">
        <f>TRUNC(F111*H111,2)</f>
        <v>1977</v>
      </c>
      <c r="J111" s="101"/>
      <c r="K111" s="6"/>
    </row>
    <row r="112" spans="1:11" ht="15">
      <c r="A112" s="81">
        <v>11.2</v>
      </c>
      <c r="B112" s="11" t="s">
        <v>203</v>
      </c>
      <c r="C112" s="12"/>
      <c r="D112" s="205" t="s">
        <v>204</v>
      </c>
      <c r="E112" s="12" t="s">
        <v>45</v>
      </c>
      <c r="F112" s="60">
        <v>1</v>
      </c>
      <c r="G112" s="29">
        <v>397.95</v>
      </c>
      <c r="H112" s="29">
        <f aca="true" t="shared" si="10" ref="H112:H122">ROUNDDOWN(G112*(1+$I$8),2)</f>
        <v>509.37</v>
      </c>
      <c r="I112" s="82">
        <f aca="true" t="shared" si="11" ref="I112:I122">TRUNC(F112*H112,2)</f>
        <v>509.37</v>
      </c>
      <c r="J112" s="101"/>
      <c r="K112" s="6"/>
    </row>
    <row r="113" spans="1:11" ht="15">
      <c r="A113" s="81">
        <v>11.3</v>
      </c>
      <c r="B113" s="11">
        <v>72254</v>
      </c>
      <c r="C113" s="12" t="s">
        <v>22</v>
      </c>
      <c r="D113" s="205" t="s">
        <v>205</v>
      </c>
      <c r="E113" s="12" t="s">
        <v>16</v>
      </c>
      <c r="F113" s="60">
        <v>180</v>
      </c>
      <c r="G113" s="29">
        <v>26.58</v>
      </c>
      <c r="H113" s="29">
        <f t="shared" si="10"/>
        <v>34.02</v>
      </c>
      <c r="I113" s="82">
        <f t="shared" si="11"/>
        <v>6123.6</v>
      </c>
      <c r="J113" s="101"/>
      <c r="K113" s="6"/>
    </row>
    <row r="114" spans="1:11" ht="15">
      <c r="A114" s="81">
        <v>11.4</v>
      </c>
      <c r="B114" s="11">
        <v>72256</v>
      </c>
      <c r="C114" s="12" t="s">
        <v>22</v>
      </c>
      <c r="D114" s="205" t="s">
        <v>228</v>
      </c>
      <c r="E114" s="12" t="s">
        <v>16</v>
      </c>
      <c r="F114" s="60">
        <v>100</v>
      </c>
      <c r="G114" s="29">
        <v>46.13</v>
      </c>
      <c r="H114" s="29">
        <f t="shared" si="10"/>
        <v>59.04</v>
      </c>
      <c r="I114" s="82">
        <f t="shared" si="11"/>
        <v>5904</v>
      </c>
      <c r="J114" s="101"/>
      <c r="K114" s="6"/>
    </row>
    <row r="115" spans="1:11" ht="15">
      <c r="A115" s="81">
        <v>11.5</v>
      </c>
      <c r="B115" s="11">
        <v>55865</v>
      </c>
      <c r="C115" s="12" t="s">
        <v>22</v>
      </c>
      <c r="D115" s="205" t="s">
        <v>229</v>
      </c>
      <c r="E115" s="12" t="s">
        <v>16</v>
      </c>
      <c r="F115" s="60">
        <v>15</v>
      </c>
      <c r="G115" s="29">
        <v>19.35</v>
      </c>
      <c r="H115" s="29">
        <f t="shared" si="10"/>
        <v>24.76</v>
      </c>
      <c r="I115" s="82">
        <f t="shared" si="11"/>
        <v>371.4</v>
      </c>
      <c r="J115" s="101"/>
      <c r="K115" s="6"/>
    </row>
    <row r="116" spans="1:11" ht="15">
      <c r="A116" s="81">
        <v>11.6</v>
      </c>
      <c r="B116" s="11" t="s">
        <v>206</v>
      </c>
      <c r="C116" s="12" t="s">
        <v>84</v>
      </c>
      <c r="D116" s="205" t="s">
        <v>207</v>
      </c>
      <c r="E116" s="12" t="s">
        <v>45</v>
      </c>
      <c r="F116" s="60">
        <v>5</v>
      </c>
      <c r="G116" s="29">
        <v>39.75</v>
      </c>
      <c r="H116" s="29">
        <f t="shared" si="10"/>
        <v>50.88</v>
      </c>
      <c r="I116" s="82">
        <f t="shared" si="11"/>
        <v>254.4</v>
      </c>
      <c r="J116" s="101"/>
      <c r="K116" s="6"/>
    </row>
    <row r="117" spans="1:11" ht="15">
      <c r="A117" s="81">
        <v>11.7</v>
      </c>
      <c r="B117" s="11">
        <v>83638</v>
      </c>
      <c r="C117" s="12" t="s">
        <v>22</v>
      </c>
      <c r="D117" s="205" t="s">
        <v>230</v>
      </c>
      <c r="E117" s="12" t="s">
        <v>45</v>
      </c>
      <c r="F117" s="60">
        <v>1</v>
      </c>
      <c r="G117" s="29">
        <v>360.21</v>
      </c>
      <c r="H117" s="29">
        <f t="shared" si="10"/>
        <v>461.06</v>
      </c>
      <c r="I117" s="82">
        <f t="shared" si="11"/>
        <v>461.06</v>
      </c>
      <c r="J117" s="101"/>
      <c r="K117" s="6"/>
    </row>
    <row r="118" spans="1:11" ht="15">
      <c r="A118" s="81">
        <v>11.8</v>
      </c>
      <c r="B118" s="11">
        <v>3376</v>
      </c>
      <c r="C118" s="12" t="s">
        <v>22</v>
      </c>
      <c r="D118" s="205" t="s">
        <v>208</v>
      </c>
      <c r="E118" s="12" t="s">
        <v>45</v>
      </c>
      <c r="F118" s="60">
        <v>30</v>
      </c>
      <c r="G118" s="29">
        <v>44.15</v>
      </c>
      <c r="H118" s="29">
        <f t="shared" si="10"/>
        <v>56.51</v>
      </c>
      <c r="I118" s="82">
        <f t="shared" si="11"/>
        <v>1695.3</v>
      </c>
      <c r="J118" s="101"/>
      <c r="K118" s="6"/>
    </row>
    <row r="119" spans="1:11" ht="15">
      <c r="A119" s="81">
        <v>11.9</v>
      </c>
      <c r="B119" s="11" t="s">
        <v>209</v>
      </c>
      <c r="C119" s="12" t="s">
        <v>84</v>
      </c>
      <c r="D119" s="205" t="s">
        <v>210</v>
      </c>
      <c r="E119" s="12" t="s">
        <v>45</v>
      </c>
      <c r="F119" s="60">
        <v>5</v>
      </c>
      <c r="G119" s="29">
        <v>71.93</v>
      </c>
      <c r="H119" s="29">
        <f t="shared" si="10"/>
        <v>92.07</v>
      </c>
      <c r="I119" s="82">
        <f t="shared" si="11"/>
        <v>460.35</v>
      </c>
      <c r="J119" s="101"/>
      <c r="K119" s="6"/>
    </row>
    <row r="120" spans="1:11" ht="15">
      <c r="A120" s="86">
        <v>11.1</v>
      </c>
      <c r="B120" s="11">
        <v>68070</v>
      </c>
      <c r="C120" s="12" t="s">
        <v>22</v>
      </c>
      <c r="D120" s="205" t="s">
        <v>211</v>
      </c>
      <c r="E120" s="12" t="s">
        <v>45</v>
      </c>
      <c r="F120" s="60">
        <v>1</v>
      </c>
      <c r="G120" s="29">
        <v>40.83</v>
      </c>
      <c r="H120" s="29">
        <f t="shared" si="10"/>
        <v>52.26</v>
      </c>
      <c r="I120" s="82">
        <f t="shared" si="11"/>
        <v>52.26</v>
      </c>
      <c r="J120" s="101"/>
      <c r="K120" s="6"/>
    </row>
    <row r="121" spans="1:11" ht="15">
      <c r="A121" s="81">
        <v>11.11</v>
      </c>
      <c r="B121" s="11">
        <v>72263</v>
      </c>
      <c r="C121" s="12" t="s">
        <v>22</v>
      </c>
      <c r="D121" s="205" t="s">
        <v>212</v>
      </c>
      <c r="E121" s="12" t="s">
        <v>45</v>
      </c>
      <c r="F121" s="60">
        <v>14</v>
      </c>
      <c r="G121" s="29">
        <v>15.45</v>
      </c>
      <c r="H121" s="29">
        <f t="shared" si="10"/>
        <v>19.77</v>
      </c>
      <c r="I121" s="82">
        <f t="shared" si="11"/>
        <v>276.78</v>
      </c>
      <c r="J121" s="101"/>
      <c r="K121" s="6"/>
    </row>
    <row r="122" spans="1:11" ht="15">
      <c r="A122" s="206">
        <v>11.12</v>
      </c>
      <c r="B122" s="200">
        <v>83338</v>
      </c>
      <c r="C122" s="201" t="s">
        <v>22</v>
      </c>
      <c r="D122" s="202" t="s">
        <v>213</v>
      </c>
      <c r="E122" s="201" t="s">
        <v>43</v>
      </c>
      <c r="F122" s="203">
        <f>8.75</f>
        <v>8.75</v>
      </c>
      <c r="G122" s="207">
        <v>2.43</v>
      </c>
      <c r="H122" s="29">
        <f t="shared" si="10"/>
        <v>3.11</v>
      </c>
      <c r="I122" s="82">
        <f t="shared" si="11"/>
        <v>27.21</v>
      </c>
      <c r="J122" s="101"/>
      <c r="K122" s="6"/>
    </row>
    <row r="123" spans="1:11" ht="15">
      <c r="A123" s="231" t="s">
        <v>7</v>
      </c>
      <c r="B123" s="232"/>
      <c r="C123" s="232"/>
      <c r="D123" s="232"/>
      <c r="E123" s="232"/>
      <c r="F123" s="232"/>
      <c r="G123" s="232"/>
      <c r="H123" s="193"/>
      <c r="I123" s="194">
        <f>SUM(I111:I122)</f>
        <v>18112.729999999996</v>
      </c>
      <c r="J123" s="101">
        <f>I123/I185</f>
        <v>0.0331050165612996</v>
      </c>
      <c r="K123" s="6"/>
    </row>
    <row r="124" spans="1:11" ht="15">
      <c r="A124" s="195"/>
      <c r="B124" s="196"/>
      <c r="C124" s="196"/>
      <c r="D124" s="196"/>
      <c r="E124" s="196"/>
      <c r="F124" s="196"/>
      <c r="G124" s="196"/>
      <c r="H124" s="197"/>
      <c r="I124" s="198"/>
      <c r="J124" s="101"/>
      <c r="K124" s="6"/>
    </row>
    <row r="125" spans="1:11" ht="15">
      <c r="A125" s="208">
        <v>12</v>
      </c>
      <c r="B125" s="192"/>
      <c r="C125" s="192"/>
      <c r="D125" s="209" t="s">
        <v>227</v>
      </c>
      <c r="E125" s="192"/>
      <c r="F125" s="192"/>
      <c r="G125" s="192"/>
      <c r="H125" s="193"/>
      <c r="I125" s="194"/>
      <c r="J125" s="101"/>
      <c r="K125" s="6"/>
    </row>
    <row r="126" spans="1:11" ht="15">
      <c r="A126" s="81">
        <v>12.1</v>
      </c>
      <c r="B126" s="11" t="s">
        <v>203</v>
      </c>
      <c r="C126" s="12"/>
      <c r="D126" s="62" t="s">
        <v>215</v>
      </c>
      <c r="E126" s="12" t="s">
        <v>45</v>
      </c>
      <c r="F126" s="14">
        <v>2</v>
      </c>
      <c r="G126" s="29">
        <v>13.48</v>
      </c>
      <c r="H126" s="29">
        <f aca="true" t="shared" si="12" ref="H126:H137">ROUNDDOWN(G126*(1+$I$8),2)</f>
        <v>17.25</v>
      </c>
      <c r="I126" s="82">
        <f aca="true" t="shared" si="13" ref="I126:I137">TRUNC(F126*H126,2)</f>
        <v>34.5</v>
      </c>
      <c r="J126" s="101"/>
      <c r="K126" s="6"/>
    </row>
    <row r="127" spans="1:11" ht="15">
      <c r="A127" s="81">
        <v>12.2</v>
      </c>
      <c r="B127" s="11" t="s">
        <v>203</v>
      </c>
      <c r="C127" s="12"/>
      <c r="D127" s="62" t="s">
        <v>216</v>
      </c>
      <c r="E127" s="12" t="s">
        <v>45</v>
      </c>
      <c r="F127" s="14">
        <v>1</v>
      </c>
      <c r="G127" s="29">
        <v>11.48</v>
      </c>
      <c r="H127" s="29">
        <f t="shared" si="12"/>
        <v>14.69</v>
      </c>
      <c r="I127" s="82">
        <f t="shared" si="13"/>
        <v>14.69</v>
      </c>
      <c r="J127" s="101"/>
      <c r="K127" s="6"/>
    </row>
    <row r="128" spans="1:11" ht="15">
      <c r="A128" s="81">
        <v>12.3</v>
      </c>
      <c r="B128" s="11" t="s">
        <v>217</v>
      </c>
      <c r="C128" s="12" t="s">
        <v>84</v>
      </c>
      <c r="D128" s="62" t="s">
        <v>218</v>
      </c>
      <c r="E128" s="12" t="s">
        <v>45</v>
      </c>
      <c r="F128" s="14">
        <v>17</v>
      </c>
      <c r="G128" s="29">
        <v>3.99</v>
      </c>
      <c r="H128" s="29">
        <f t="shared" si="12"/>
        <v>5.1</v>
      </c>
      <c r="I128" s="82">
        <f t="shared" si="13"/>
        <v>86.7</v>
      </c>
      <c r="J128" s="101"/>
      <c r="K128" s="6"/>
    </row>
    <row r="129" spans="1:11" ht="15">
      <c r="A129" s="81">
        <v>12.4</v>
      </c>
      <c r="B129" s="11" t="s">
        <v>203</v>
      </c>
      <c r="C129" s="12"/>
      <c r="D129" s="62" t="s">
        <v>231</v>
      </c>
      <c r="E129" s="12" t="s">
        <v>16</v>
      </c>
      <c r="F129" s="14">
        <v>752.2</v>
      </c>
      <c r="G129" s="29">
        <v>1.11</v>
      </c>
      <c r="H129" s="29">
        <f t="shared" si="12"/>
        <v>1.42</v>
      </c>
      <c r="I129" s="82">
        <f t="shared" si="13"/>
        <v>1068.12</v>
      </c>
      <c r="J129" s="101"/>
      <c r="K129" s="6"/>
    </row>
    <row r="130" spans="1:11" ht="15">
      <c r="A130" s="90">
        <v>12.5</v>
      </c>
      <c r="B130" s="11" t="s">
        <v>220</v>
      </c>
      <c r="C130" s="12" t="s">
        <v>84</v>
      </c>
      <c r="D130" s="62" t="s">
        <v>233</v>
      </c>
      <c r="E130" s="12" t="s">
        <v>45</v>
      </c>
      <c r="F130" s="14">
        <v>17</v>
      </c>
      <c r="G130" s="29">
        <v>4.66</v>
      </c>
      <c r="H130" s="29">
        <f t="shared" si="12"/>
        <v>5.96</v>
      </c>
      <c r="I130" s="82">
        <f t="shared" si="13"/>
        <v>101.32</v>
      </c>
      <c r="J130" s="101"/>
      <c r="K130" s="6"/>
    </row>
    <row r="131" spans="1:11" ht="15">
      <c r="A131" s="81">
        <v>12.6</v>
      </c>
      <c r="B131" s="11" t="s">
        <v>219</v>
      </c>
      <c r="C131" s="12" t="s">
        <v>84</v>
      </c>
      <c r="D131" s="62" t="s">
        <v>221</v>
      </c>
      <c r="E131" s="12" t="s">
        <v>45</v>
      </c>
      <c r="F131" s="14">
        <v>8</v>
      </c>
      <c r="G131" s="29">
        <v>3.34</v>
      </c>
      <c r="H131" s="29">
        <f t="shared" si="12"/>
        <v>4.27</v>
      </c>
      <c r="I131" s="82">
        <f t="shared" si="13"/>
        <v>34.16</v>
      </c>
      <c r="J131" s="101"/>
      <c r="K131" s="6"/>
    </row>
    <row r="132" spans="1:11" ht="15">
      <c r="A132" s="81">
        <v>12.7</v>
      </c>
      <c r="B132" s="11">
        <v>72935</v>
      </c>
      <c r="C132" s="12" t="s">
        <v>22</v>
      </c>
      <c r="D132" s="35" t="s">
        <v>222</v>
      </c>
      <c r="E132" s="12" t="s">
        <v>16</v>
      </c>
      <c r="F132" s="14">
        <f>116.6+4.2</f>
        <v>120.8</v>
      </c>
      <c r="G132" s="29">
        <v>5.89</v>
      </c>
      <c r="H132" s="29">
        <f t="shared" si="12"/>
        <v>7.53</v>
      </c>
      <c r="I132" s="82">
        <f t="shared" si="13"/>
        <v>909.62</v>
      </c>
      <c r="J132" s="101"/>
      <c r="K132" s="6"/>
    </row>
    <row r="133" spans="1:11" ht="15">
      <c r="A133" s="81">
        <v>12.8</v>
      </c>
      <c r="B133" s="11" t="s">
        <v>203</v>
      </c>
      <c r="C133" s="12"/>
      <c r="D133" s="62" t="s">
        <v>223</v>
      </c>
      <c r="E133" s="12" t="s">
        <v>45</v>
      </c>
      <c r="F133" s="14">
        <v>2</v>
      </c>
      <c r="G133" s="29">
        <v>9.45</v>
      </c>
      <c r="H133" s="29">
        <f t="shared" si="12"/>
        <v>12.09</v>
      </c>
      <c r="I133" s="82">
        <f t="shared" si="13"/>
        <v>24.18</v>
      </c>
      <c r="J133" s="101"/>
      <c r="K133" s="6"/>
    </row>
    <row r="134" spans="1:11" ht="15">
      <c r="A134" s="90">
        <v>12.9</v>
      </c>
      <c r="B134" s="11" t="s">
        <v>203</v>
      </c>
      <c r="C134" s="12"/>
      <c r="D134" s="62" t="s">
        <v>224</v>
      </c>
      <c r="E134" s="12" t="s">
        <v>45</v>
      </c>
      <c r="F134" s="14">
        <v>2</v>
      </c>
      <c r="G134" s="29">
        <v>2.11</v>
      </c>
      <c r="H134" s="29">
        <f t="shared" si="12"/>
        <v>2.7</v>
      </c>
      <c r="I134" s="82">
        <f t="shared" si="13"/>
        <v>5.4</v>
      </c>
      <c r="J134" s="101"/>
      <c r="K134" s="6"/>
    </row>
    <row r="135" spans="1:11" ht="15">
      <c r="A135" s="86">
        <v>12.1</v>
      </c>
      <c r="B135" s="11">
        <v>55865</v>
      </c>
      <c r="C135" s="12" t="s">
        <v>22</v>
      </c>
      <c r="D135" s="62" t="s">
        <v>232</v>
      </c>
      <c r="E135" s="12" t="s">
        <v>16</v>
      </c>
      <c r="F135" s="14">
        <v>17.9</v>
      </c>
      <c r="G135" s="29">
        <v>19.35</v>
      </c>
      <c r="H135" s="29">
        <f t="shared" si="12"/>
        <v>24.76</v>
      </c>
      <c r="I135" s="82">
        <f t="shared" si="13"/>
        <v>443.2</v>
      </c>
      <c r="J135" s="101"/>
      <c r="K135" s="6"/>
    </row>
    <row r="136" spans="1:11" ht="15">
      <c r="A136" s="86">
        <v>12.11</v>
      </c>
      <c r="B136" s="11" t="s">
        <v>225</v>
      </c>
      <c r="C136" s="12" t="s">
        <v>84</v>
      </c>
      <c r="D136" s="62" t="s">
        <v>226</v>
      </c>
      <c r="E136" s="12" t="s">
        <v>45</v>
      </c>
      <c r="F136" s="14">
        <v>3</v>
      </c>
      <c r="G136" s="29">
        <v>341.99</v>
      </c>
      <c r="H136" s="29">
        <f t="shared" si="12"/>
        <v>437.74</v>
      </c>
      <c r="I136" s="82">
        <f t="shared" si="13"/>
        <v>1313.22</v>
      </c>
      <c r="J136" s="101"/>
      <c r="K136" s="6"/>
    </row>
    <row r="137" spans="1:11" ht="15">
      <c r="A137" s="86">
        <v>12.12</v>
      </c>
      <c r="B137" s="11">
        <v>83370</v>
      </c>
      <c r="C137" s="12" t="s">
        <v>22</v>
      </c>
      <c r="D137" s="62" t="s">
        <v>234</v>
      </c>
      <c r="E137" s="12" t="s">
        <v>45</v>
      </c>
      <c r="F137" s="14">
        <v>1</v>
      </c>
      <c r="G137" s="29">
        <v>196.55</v>
      </c>
      <c r="H137" s="210">
        <f t="shared" si="12"/>
        <v>251.58</v>
      </c>
      <c r="I137" s="211">
        <f t="shared" si="13"/>
        <v>251.58</v>
      </c>
      <c r="J137" s="101"/>
      <c r="K137" s="6"/>
    </row>
    <row r="138" spans="1:11" ht="15">
      <c r="A138" s="231" t="s">
        <v>7</v>
      </c>
      <c r="B138" s="232"/>
      <c r="C138" s="232"/>
      <c r="D138" s="232"/>
      <c r="E138" s="232"/>
      <c r="F138" s="232"/>
      <c r="G138" s="232"/>
      <c r="H138" s="193"/>
      <c r="I138" s="194">
        <f>SUM(I126:I137)</f>
        <v>4286.69</v>
      </c>
      <c r="J138" s="101">
        <f>I138/I185</f>
        <v>0.00783487323242589</v>
      </c>
      <c r="K138" s="6"/>
    </row>
    <row r="139" spans="1:11" ht="15">
      <c r="A139" s="258"/>
      <c r="B139" s="259"/>
      <c r="C139" s="259"/>
      <c r="D139" s="259"/>
      <c r="E139" s="259"/>
      <c r="F139" s="259"/>
      <c r="G139" s="259"/>
      <c r="H139" s="259"/>
      <c r="I139" s="260"/>
      <c r="J139" s="102"/>
      <c r="K139" s="6"/>
    </row>
    <row r="140" spans="1:11" ht="15">
      <c r="A140" s="98">
        <v>13</v>
      </c>
      <c r="B140" s="36"/>
      <c r="C140" s="37"/>
      <c r="D140" s="38" t="s">
        <v>41</v>
      </c>
      <c r="E140" s="39"/>
      <c r="F140" s="40"/>
      <c r="G140" s="151"/>
      <c r="H140" s="151"/>
      <c r="I140" s="176"/>
      <c r="J140" s="102"/>
      <c r="K140" s="6"/>
    </row>
    <row r="141" spans="1:11" ht="15">
      <c r="A141" s="96">
        <v>13.1</v>
      </c>
      <c r="B141" s="70">
        <v>89402</v>
      </c>
      <c r="C141" s="70" t="s">
        <v>22</v>
      </c>
      <c r="D141" s="71" t="s">
        <v>49</v>
      </c>
      <c r="E141" s="70" t="s">
        <v>16</v>
      </c>
      <c r="F141" s="72">
        <f>5.8+2.5+2.5+4+4+0.7+1.8+0.3+1.57+1.85+0.6+5.83</f>
        <v>31.450000000000003</v>
      </c>
      <c r="G141" s="161">
        <v>5.96</v>
      </c>
      <c r="H141" s="161">
        <f>ROUNDDOWN(G141*(1+$I$8),2)</f>
        <v>7.62</v>
      </c>
      <c r="I141" s="181">
        <f>TRUNC(F141*H141,2)</f>
        <v>239.64</v>
      </c>
      <c r="J141" s="102"/>
      <c r="K141" s="6"/>
    </row>
    <row r="142" spans="1:11" ht="15">
      <c r="A142" s="96">
        <v>13.2</v>
      </c>
      <c r="B142" s="12">
        <v>89403</v>
      </c>
      <c r="C142" s="70" t="s">
        <v>22</v>
      </c>
      <c r="D142" s="71" t="s">
        <v>94</v>
      </c>
      <c r="E142" s="70" t="s">
        <v>16</v>
      </c>
      <c r="F142" s="72">
        <v>14</v>
      </c>
      <c r="G142" s="163">
        <v>9.91</v>
      </c>
      <c r="H142" s="161">
        <f aca="true" t="shared" si="14" ref="H142:H168">ROUNDDOWN(G142*(1+$I$8),2)</f>
        <v>12.68</v>
      </c>
      <c r="I142" s="181">
        <f aca="true" t="shared" si="15" ref="I142:I168">TRUNC(F142*H142,2)</f>
        <v>177.52</v>
      </c>
      <c r="J142" s="102"/>
      <c r="K142" s="6"/>
    </row>
    <row r="143" spans="1:11" ht="15">
      <c r="A143" s="96">
        <v>13.3</v>
      </c>
      <c r="B143" s="54">
        <v>89449</v>
      </c>
      <c r="C143" s="70" t="s">
        <v>22</v>
      </c>
      <c r="D143" s="71" t="s">
        <v>184</v>
      </c>
      <c r="E143" s="70" t="s">
        <v>16</v>
      </c>
      <c r="F143" s="72">
        <f>2.4+2.4+0.85+0.85+0.9</f>
        <v>7.3999999999999995</v>
      </c>
      <c r="G143" s="163">
        <v>12.3</v>
      </c>
      <c r="H143" s="161">
        <f t="shared" si="14"/>
        <v>15.74</v>
      </c>
      <c r="I143" s="181">
        <f t="shared" si="15"/>
        <v>116.47</v>
      </c>
      <c r="J143" s="102"/>
      <c r="K143" s="6"/>
    </row>
    <row r="144" spans="1:11" ht="15">
      <c r="A144" s="96">
        <v>13.4</v>
      </c>
      <c r="B144" s="70">
        <v>89450</v>
      </c>
      <c r="C144" s="70" t="s">
        <v>22</v>
      </c>
      <c r="D144" s="71" t="s">
        <v>95</v>
      </c>
      <c r="E144" s="70" t="s">
        <v>16</v>
      </c>
      <c r="F144" s="72">
        <f>0.3+2.08+0.4+0.2+2.1+0.2+3.3+0.5+0.4+0.4</f>
        <v>9.88</v>
      </c>
      <c r="G144" s="163">
        <v>18.87</v>
      </c>
      <c r="H144" s="161">
        <f t="shared" si="14"/>
        <v>24.15</v>
      </c>
      <c r="I144" s="181">
        <f t="shared" si="15"/>
        <v>238.6</v>
      </c>
      <c r="J144" s="102"/>
      <c r="K144" s="6"/>
    </row>
    <row r="145" spans="1:11" ht="15">
      <c r="A145" s="96">
        <v>13.5</v>
      </c>
      <c r="B145" s="70">
        <v>90373</v>
      </c>
      <c r="C145" s="70" t="s">
        <v>22</v>
      </c>
      <c r="D145" s="71" t="s">
        <v>131</v>
      </c>
      <c r="E145" s="70" t="s">
        <v>45</v>
      </c>
      <c r="F145" s="72">
        <v>7</v>
      </c>
      <c r="G145" s="163">
        <v>3.23</v>
      </c>
      <c r="H145" s="161">
        <f t="shared" si="14"/>
        <v>4.13</v>
      </c>
      <c r="I145" s="181">
        <f t="shared" si="15"/>
        <v>28.91</v>
      </c>
      <c r="J145" s="102"/>
      <c r="K145" s="6"/>
    </row>
    <row r="146" spans="1:11" ht="15">
      <c r="A146" s="96">
        <v>13.6</v>
      </c>
      <c r="B146" s="70">
        <v>89505</v>
      </c>
      <c r="C146" s="70" t="s">
        <v>22</v>
      </c>
      <c r="D146" s="71" t="s">
        <v>91</v>
      </c>
      <c r="E146" s="70" t="s">
        <v>45</v>
      </c>
      <c r="F146" s="72">
        <v>7</v>
      </c>
      <c r="G146" s="163">
        <v>25.08</v>
      </c>
      <c r="H146" s="161">
        <f t="shared" si="14"/>
        <v>32.1</v>
      </c>
      <c r="I146" s="181">
        <f t="shared" si="15"/>
        <v>224.7</v>
      </c>
      <c r="J146" s="102"/>
      <c r="K146" s="6"/>
    </row>
    <row r="147" spans="1:11" ht="15">
      <c r="A147" s="96">
        <v>13.7</v>
      </c>
      <c r="B147" s="70">
        <v>89506</v>
      </c>
      <c r="C147" s="70" t="s">
        <v>22</v>
      </c>
      <c r="D147" s="71" t="s">
        <v>92</v>
      </c>
      <c r="E147" s="70" t="s">
        <v>45</v>
      </c>
      <c r="F147" s="72">
        <v>1</v>
      </c>
      <c r="G147" s="163">
        <v>24.62</v>
      </c>
      <c r="H147" s="161">
        <f t="shared" si="14"/>
        <v>31.51</v>
      </c>
      <c r="I147" s="181">
        <f t="shared" si="15"/>
        <v>31.51</v>
      </c>
      <c r="J147" s="102"/>
      <c r="K147" s="6"/>
    </row>
    <row r="148" spans="1:11" ht="15">
      <c r="A148" s="96">
        <v>13.8</v>
      </c>
      <c r="B148" s="70">
        <v>89617</v>
      </c>
      <c r="C148" s="70" t="s">
        <v>22</v>
      </c>
      <c r="D148" s="71" t="s">
        <v>93</v>
      </c>
      <c r="E148" s="70" t="s">
        <v>45</v>
      </c>
      <c r="F148" s="72">
        <v>8</v>
      </c>
      <c r="G148" s="163">
        <v>4.08</v>
      </c>
      <c r="H148" s="161">
        <f t="shared" si="14"/>
        <v>5.22</v>
      </c>
      <c r="I148" s="181">
        <f t="shared" si="15"/>
        <v>41.76</v>
      </c>
      <c r="J148" s="102"/>
      <c r="K148" s="6"/>
    </row>
    <row r="149" spans="1:11" ht="15">
      <c r="A149" s="96">
        <v>13.9</v>
      </c>
      <c r="B149" s="70">
        <v>89628</v>
      </c>
      <c r="C149" s="70" t="s">
        <v>22</v>
      </c>
      <c r="D149" s="71" t="s">
        <v>96</v>
      </c>
      <c r="E149" s="70" t="s">
        <v>45</v>
      </c>
      <c r="F149" s="72">
        <v>7</v>
      </c>
      <c r="G149" s="163">
        <v>41.14</v>
      </c>
      <c r="H149" s="161">
        <f t="shared" si="14"/>
        <v>52.65</v>
      </c>
      <c r="I149" s="181">
        <f t="shared" si="15"/>
        <v>368.55</v>
      </c>
      <c r="J149" s="102"/>
      <c r="K149" s="6"/>
    </row>
    <row r="150" spans="1:11" ht="15">
      <c r="A150" s="97">
        <v>13.1</v>
      </c>
      <c r="B150" s="70">
        <v>73663</v>
      </c>
      <c r="C150" s="70" t="s">
        <v>22</v>
      </c>
      <c r="D150" s="71" t="s">
        <v>97</v>
      </c>
      <c r="E150" s="70" t="s">
        <v>45</v>
      </c>
      <c r="F150" s="72">
        <v>3</v>
      </c>
      <c r="G150" s="163">
        <v>75.23</v>
      </c>
      <c r="H150" s="161">
        <f t="shared" si="14"/>
        <v>96.29</v>
      </c>
      <c r="I150" s="181">
        <f t="shared" si="15"/>
        <v>288.87</v>
      </c>
      <c r="J150" s="102"/>
      <c r="K150" s="6"/>
    </row>
    <row r="151" spans="1:11" ht="15">
      <c r="A151" s="96">
        <v>13.11</v>
      </c>
      <c r="B151" s="21" t="s">
        <v>99</v>
      </c>
      <c r="C151" s="21" t="s">
        <v>22</v>
      </c>
      <c r="D151" s="20" t="s">
        <v>98</v>
      </c>
      <c r="E151" s="75" t="s">
        <v>45</v>
      </c>
      <c r="F151" s="14">
        <v>5</v>
      </c>
      <c r="G151" s="163">
        <v>92.11</v>
      </c>
      <c r="H151" s="161">
        <f t="shared" si="14"/>
        <v>117.9</v>
      </c>
      <c r="I151" s="181">
        <f t="shared" si="15"/>
        <v>589.5</v>
      </c>
      <c r="J151" s="102"/>
      <c r="K151" s="6"/>
    </row>
    <row r="152" spans="1:11" ht="15">
      <c r="A152" s="97">
        <v>13.12</v>
      </c>
      <c r="B152" s="70" t="s">
        <v>100</v>
      </c>
      <c r="C152" s="70" t="s">
        <v>22</v>
      </c>
      <c r="D152" s="71" t="s">
        <v>101</v>
      </c>
      <c r="E152" s="70" t="s">
        <v>45</v>
      </c>
      <c r="F152" s="72">
        <v>2</v>
      </c>
      <c r="G152" s="163">
        <v>175.3</v>
      </c>
      <c r="H152" s="161">
        <f t="shared" si="14"/>
        <v>224.38</v>
      </c>
      <c r="I152" s="181">
        <f t="shared" si="15"/>
        <v>448.76</v>
      </c>
      <c r="J152" s="102"/>
      <c r="K152" s="6"/>
    </row>
    <row r="153" spans="1:11" ht="15">
      <c r="A153" s="96">
        <v>13.13</v>
      </c>
      <c r="B153" s="70">
        <v>89711</v>
      </c>
      <c r="C153" s="70" t="s">
        <v>22</v>
      </c>
      <c r="D153" s="71" t="s">
        <v>102</v>
      </c>
      <c r="E153" s="70" t="s">
        <v>16</v>
      </c>
      <c r="F153" s="72">
        <f>5.5+5.5</f>
        <v>11</v>
      </c>
      <c r="G153" s="163">
        <v>11.4</v>
      </c>
      <c r="H153" s="161">
        <f t="shared" si="14"/>
        <v>14.59</v>
      </c>
      <c r="I153" s="181">
        <f t="shared" si="15"/>
        <v>160.49</v>
      </c>
      <c r="J153" s="102"/>
      <c r="K153" s="6"/>
    </row>
    <row r="154" spans="1:11" ht="15">
      <c r="A154" s="97">
        <v>13.14</v>
      </c>
      <c r="B154" s="70">
        <v>89714</v>
      </c>
      <c r="C154" s="70" t="s">
        <v>22</v>
      </c>
      <c r="D154" s="71" t="s">
        <v>103</v>
      </c>
      <c r="E154" s="70" t="s">
        <v>16</v>
      </c>
      <c r="F154" s="72">
        <f>6.2+3.05+3.05+0.8+0.8+1.15+1.8+3.2</f>
        <v>20.05</v>
      </c>
      <c r="G154" s="163">
        <v>32.33</v>
      </c>
      <c r="H154" s="161">
        <f t="shared" si="14"/>
        <v>41.38</v>
      </c>
      <c r="I154" s="181">
        <f t="shared" si="15"/>
        <v>829.66</v>
      </c>
      <c r="J154" s="102"/>
      <c r="K154" s="6"/>
    </row>
    <row r="155" spans="1:11" ht="15">
      <c r="A155" s="96">
        <v>13.15</v>
      </c>
      <c r="B155" s="70">
        <v>89726</v>
      </c>
      <c r="C155" s="70" t="s">
        <v>22</v>
      </c>
      <c r="D155" s="71" t="s">
        <v>104</v>
      </c>
      <c r="E155" s="70" t="s">
        <v>45</v>
      </c>
      <c r="F155" s="72">
        <v>8</v>
      </c>
      <c r="G155" s="163">
        <v>5.13</v>
      </c>
      <c r="H155" s="161">
        <f t="shared" si="14"/>
        <v>6.56</v>
      </c>
      <c r="I155" s="181">
        <f t="shared" si="15"/>
        <v>52.48</v>
      </c>
      <c r="J155" s="102"/>
      <c r="K155" s="6"/>
    </row>
    <row r="156" spans="1:11" ht="15">
      <c r="A156" s="97">
        <v>13.16</v>
      </c>
      <c r="B156" s="78">
        <v>9535</v>
      </c>
      <c r="C156" s="70" t="s">
        <v>22</v>
      </c>
      <c r="D156" s="77" t="s">
        <v>105</v>
      </c>
      <c r="E156" s="70" t="s">
        <v>45</v>
      </c>
      <c r="F156" s="72">
        <v>2</v>
      </c>
      <c r="G156" s="163">
        <v>50</v>
      </c>
      <c r="H156" s="161">
        <f t="shared" si="14"/>
        <v>64</v>
      </c>
      <c r="I156" s="181">
        <f t="shared" si="15"/>
        <v>128</v>
      </c>
      <c r="J156" s="102"/>
      <c r="K156" s="6"/>
    </row>
    <row r="157" spans="1:11" ht="15">
      <c r="A157" s="96">
        <v>13.17</v>
      </c>
      <c r="B157" s="78">
        <v>86902</v>
      </c>
      <c r="C157" s="70" t="s">
        <v>22</v>
      </c>
      <c r="D157" s="77" t="s">
        <v>132</v>
      </c>
      <c r="E157" s="70" t="s">
        <v>45</v>
      </c>
      <c r="F157" s="72">
        <v>5</v>
      </c>
      <c r="G157" s="163">
        <v>130.24</v>
      </c>
      <c r="H157" s="161">
        <f t="shared" si="14"/>
        <v>166.7</v>
      </c>
      <c r="I157" s="181">
        <f t="shared" si="15"/>
        <v>833.5</v>
      </c>
      <c r="J157" s="102"/>
      <c r="K157" s="6"/>
    </row>
    <row r="158" spans="1:11" ht="15">
      <c r="A158" s="96">
        <v>13.18</v>
      </c>
      <c r="B158" s="78">
        <v>86895</v>
      </c>
      <c r="C158" s="70" t="s">
        <v>22</v>
      </c>
      <c r="D158" s="77" t="s">
        <v>240</v>
      </c>
      <c r="E158" s="70" t="s">
        <v>45</v>
      </c>
      <c r="F158" s="72">
        <v>5</v>
      </c>
      <c r="G158" s="163">
        <v>163.22</v>
      </c>
      <c r="H158" s="161">
        <f t="shared" si="14"/>
        <v>208.92</v>
      </c>
      <c r="I158" s="181">
        <f t="shared" si="15"/>
        <v>1044.6</v>
      </c>
      <c r="J158" s="102"/>
      <c r="K158" s="6"/>
    </row>
    <row r="159" spans="1:11" ht="15">
      <c r="A159" s="96">
        <v>13.19</v>
      </c>
      <c r="B159" s="78">
        <v>85005</v>
      </c>
      <c r="C159" s="70" t="s">
        <v>22</v>
      </c>
      <c r="D159" s="77" t="s">
        <v>239</v>
      </c>
      <c r="E159" s="70" t="s">
        <v>37</v>
      </c>
      <c r="F159" s="72">
        <v>1.12</v>
      </c>
      <c r="G159" s="163">
        <v>297.46</v>
      </c>
      <c r="H159" s="161">
        <f t="shared" si="14"/>
        <v>380.74</v>
      </c>
      <c r="I159" s="181">
        <f t="shared" si="15"/>
        <v>426.42</v>
      </c>
      <c r="J159" s="102"/>
      <c r="K159" s="6"/>
    </row>
    <row r="160" spans="1:11" ht="15">
      <c r="A160" s="96">
        <v>13.2</v>
      </c>
      <c r="B160" s="78">
        <v>11703</v>
      </c>
      <c r="C160" s="21" t="s">
        <v>22</v>
      </c>
      <c r="D160" s="77" t="s">
        <v>113</v>
      </c>
      <c r="E160" s="21" t="s">
        <v>45</v>
      </c>
      <c r="F160" s="30">
        <v>4</v>
      </c>
      <c r="G160" s="159">
        <v>24.92</v>
      </c>
      <c r="H160" s="161">
        <f t="shared" si="14"/>
        <v>31.89</v>
      </c>
      <c r="I160" s="181">
        <f t="shared" si="15"/>
        <v>127.56</v>
      </c>
      <c r="J160" s="102"/>
      <c r="K160" s="6"/>
    </row>
    <row r="161" spans="1:11" ht="15">
      <c r="A161" s="96">
        <v>13.21</v>
      </c>
      <c r="B161" s="78">
        <v>86888</v>
      </c>
      <c r="C161" s="21" t="s">
        <v>22</v>
      </c>
      <c r="D161" s="77" t="s">
        <v>185</v>
      </c>
      <c r="E161" s="21" t="s">
        <v>45</v>
      </c>
      <c r="F161" s="30">
        <v>5</v>
      </c>
      <c r="G161" s="159">
        <v>299.66</v>
      </c>
      <c r="H161" s="161">
        <f t="shared" si="14"/>
        <v>383.56</v>
      </c>
      <c r="I161" s="181">
        <f t="shared" si="15"/>
        <v>1917.8</v>
      </c>
      <c r="J161" s="102"/>
      <c r="K161" s="6"/>
    </row>
    <row r="162" spans="1:11" ht="15">
      <c r="A162" s="96">
        <v>13.22</v>
      </c>
      <c r="B162" s="78" t="s">
        <v>107</v>
      </c>
      <c r="C162" s="21" t="s">
        <v>22</v>
      </c>
      <c r="D162" s="77" t="s">
        <v>106</v>
      </c>
      <c r="E162" s="21" t="s">
        <v>45</v>
      </c>
      <c r="F162" s="30">
        <v>1</v>
      </c>
      <c r="G162" s="159">
        <v>122.14</v>
      </c>
      <c r="H162" s="161">
        <f t="shared" si="14"/>
        <v>156.33</v>
      </c>
      <c r="I162" s="181">
        <f t="shared" si="15"/>
        <v>156.33</v>
      </c>
      <c r="J162" s="102"/>
      <c r="K162" s="6"/>
    </row>
    <row r="163" spans="1:11" ht="15">
      <c r="A163" s="96">
        <v>13.23</v>
      </c>
      <c r="B163" s="21" t="s">
        <v>109</v>
      </c>
      <c r="C163" s="21" t="s">
        <v>22</v>
      </c>
      <c r="D163" s="76" t="s">
        <v>108</v>
      </c>
      <c r="E163" s="21" t="s">
        <v>45</v>
      </c>
      <c r="F163" s="30">
        <v>2</v>
      </c>
      <c r="G163" s="159">
        <v>67.78</v>
      </c>
      <c r="H163" s="161">
        <f t="shared" si="14"/>
        <v>86.75</v>
      </c>
      <c r="I163" s="181">
        <f t="shared" si="15"/>
        <v>173.5</v>
      </c>
      <c r="J163" s="102"/>
      <c r="K163" s="6"/>
    </row>
    <row r="164" spans="1:11" ht="15">
      <c r="A164" s="96">
        <v>13.24</v>
      </c>
      <c r="B164" s="12">
        <v>89707</v>
      </c>
      <c r="C164" s="12" t="s">
        <v>22</v>
      </c>
      <c r="D164" s="35" t="s">
        <v>110</v>
      </c>
      <c r="E164" s="12" t="s">
        <v>45</v>
      </c>
      <c r="F164" s="59">
        <v>6</v>
      </c>
      <c r="G164" s="153">
        <v>17.41</v>
      </c>
      <c r="H164" s="161">
        <f t="shared" si="14"/>
        <v>22.28</v>
      </c>
      <c r="I164" s="181">
        <f t="shared" si="15"/>
        <v>133.68</v>
      </c>
      <c r="J164" s="102"/>
      <c r="K164" s="6"/>
    </row>
    <row r="165" spans="1:11" ht="28.5">
      <c r="A165" s="96">
        <v>13.25</v>
      </c>
      <c r="B165" s="21" t="s">
        <v>111</v>
      </c>
      <c r="C165" s="21" t="s">
        <v>22</v>
      </c>
      <c r="D165" s="76" t="s">
        <v>112</v>
      </c>
      <c r="E165" s="21" t="s">
        <v>45</v>
      </c>
      <c r="F165" s="30">
        <v>3</v>
      </c>
      <c r="G165" s="162">
        <v>117.16</v>
      </c>
      <c r="H165" s="161">
        <f t="shared" si="14"/>
        <v>149.96</v>
      </c>
      <c r="I165" s="181">
        <f t="shared" si="15"/>
        <v>449.88</v>
      </c>
      <c r="J165" s="102"/>
      <c r="K165" s="6"/>
    </row>
    <row r="166" spans="1:11" ht="15">
      <c r="A166" s="96">
        <v>13.26</v>
      </c>
      <c r="B166" s="21">
        <v>34639</v>
      </c>
      <c r="C166" s="21" t="s">
        <v>22</v>
      </c>
      <c r="D166" s="76" t="s">
        <v>183</v>
      </c>
      <c r="E166" s="21" t="s">
        <v>45</v>
      </c>
      <c r="F166" s="30">
        <v>2</v>
      </c>
      <c r="G166" s="159">
        <v>609.09</v>
      </c>
      <c r="H166" s="161">
        <f t="shared" si="14"/>
        <v>779.63</v>
      </c>
      <c r="I166" s="181">
        <f t="shared" si="15"/>
        <v>1559.26</v>
      </c>
      <c r="J166" s="102"/>
      <c r="K166" s="6"/>
    </row>
    <row r="167" spans="1:11" ht="15">
      <c r="A167" s="96">
        <v>13.27</v>
      </c>
      <c r="B167" s="21" t="s">
        <v>50</v>
      </c>
      <c r="C167" s="21" t="s">
        <v>22</v>
      </c>
      <c r="D167" s="20" t="s">
        <v>51</v>
      </c>
      <c r="E167" s="21" t="s">
        <v>45</v>
      </c>
      <c r="F167" s="30">
        <v>1</v>
      </c>
      <c r="G167" s="159">
        <v>1098.18</v>
      </c>
      <c r="H167" s="161">
        <f t="shared" si="14"/>
        <v>1405.67</v>
      </c>
      <c r="I167" s="181">
        <f t="shared" si="15"/>
        <v>1405.67</v>
      </c>
      <c r="J167" s="102"/>
      <c r="K167" s="6"/>
    </row>
    <row r="168" spans="1:11" ht="15">
      <c r="A168" s="96">
        <v>13.28</v>
      </c>
      <c r="B168" s="21" t="s">
        <v>52</v>
      </c>
      <c r="C168" s="21" t="s">
        <v>22</v>
      </c>
      <c r="D168" s="20" t="s">
        <v>53</v>
      </c>
      <c r="E168" s="21" t="s">
        <v>45</v>
      </c>
      <c r="F168" s="30">
        <v>1</v>
      </c>
      <c r="G168" s="159">
        <v>1049.57</v>
      </c>
      <c r="H168" s="161">
        <f t="shared" si="14"/>
        <v>1343.44</v>
      </c>
      <c r="I168" s="181">
        <f t="shared" si="15"/>
        <v>1343.44</v>
      </c>
      <c r="J168" s="102"/>
      <c r="K168" s="6"/>
    </row>
    <row r="169" spans="1:11" ht="15">
      <c r="A169" s="231" t="s">
        <v>7</v>
      </c>
      <c r="B169" s="232"/>
      <c r="C169" s="232"/>
      <c r="D169" s="232"/>
      <c r="E169" s="232"/>
      <c r="F169" s="232"/>
      <c r="G169" s="232"/>
      <c r="H169" s="170"/>
      <c r="I169" s="187">
        <f>SUM(I141:I168)</f>
        <v>13537.060000000001</v>
      </c>
      <c r="J169" s="101">
        <f>I169/$I$185</f>
        <v>0.024741968521106786</v>
      </c>
      <c r="K169" s="6"/>
    </row>
    <row r="170" spans="1:11" ht="15">
      <c r="A170" s="258"/>
      <c r="B170" s="259"/>
      <c r="C170" s="259"/>
      <c r="D170" s="259"/>
      <c r="E170" s="259"/>
      <c r="F170" s="259"/>
      <c r="G170" s="259"/>
      <c r="H170" s="259"/>
      <c r="I170" s="260"/>
      <c r="J170" s="102"/>
      <c r="K170" s="6"/>
    </row>
    <row r="171" spans="1:12" s="28" customFormat="1" ht="15">
      <c r="A171" s="98">
        <v>14</v>
      </c>
      <c r="B171" s="36"/>
      <c r="C171" s="37"/>
      <c r="D171" s="38" t="s">
        <v>20</v>
      </c>
      <c r="E171" s="39"/>
      <c r="F171" s="40"/>
      <c r="G171" s="151"/>
      <c r="H171" s="171">
        <f>G171*J171</f>
        <v>0</v>
      </c>
      <c r="I171" s="176"/>
      <c r="J171" s="104"/>
      <c r="K171" s="6"/>
      <c r="L171" s="34"/>
    </row>
    <row r="172" spans="1:11" ht="15">
      <c r="A172" s="81">
        <v>14.1</v>
      </c>
      <c r="B172" s="11">
        <v>9537</v>
      </c>
      <c r="C172" s="12" t="s">
        <v>22</v>
      </c>
      <c r="D172" s="18" t="s">
        <v>6</v>
      </c>
      <c r="E172" s="13" t="s">
        <v>37</v>
      </c>
      <c r="F172" s="14">
        <v>773.8</v>
      </c>
      <c r="G172" s="152">
        <v>1.78</v>
      </c>
      <c r="H172" s="152">
        <f aca="true" t="shared" si="16" ref="H172:H182">ROUNDDOWN(G172*(1+$I$8),2)</f>
        <v>2.27</v>
      </c>
      <c r="I172" s="177">
        <f aca="true" t="shared" si="17" ref="I172:I182">TRUNC(F172*H172,2)</f>
        <v>1756.52</v>
      </c>
      <c r="J172" s="102"/>
      <c r="K172" s="6"/>
    </row>
    <row r="173" spans="1:11" ht="15">
      <c r="A173" s="81">
        <v>14.2</v>
      </c>
      <c r="B173" s="11" t="s">
        <v>114</v>
      </c>
      <c r="C173" s="12" t="s">
        <v>84</v>
      </c>
      <c r="D173" s="20" t="s">
        <v>116</v>
      </c>
      <c r="E173" s="13" t="s">
        <v>45</v>
      </c>
      <c r="F173" s="14">
        <v>1</v>
      </c>
      <c r="G173" s="152">
        <v>518.81</v>
      </c>
      <c r="H173" s="152">
        <f t="shared" si="16"/>
        <v>664.07</v>
      </c>
      <c r="I173" s="177">
        <f t="shared" si="17"/>
        <v>664.07</v>
      </c>
      <c r="J173" s="102"/>
      <c r="K173" s="6"/>
    </row>
    <row r="174" spans="1:11" ht="15">
      <c r="A174" s="81">
        <v>14.3</v>
      </c>
      <c r="B174" s="11" t="s">
        <v>115</v>
      </c>
      <c r="C174" s="12" t="s">
        <v>84</v>
      </c>
      <c r="D174" s="20" t="s">
        <v>117</v>
      </c>
      <c r="E174" s="13" t="s">
        <v>45</v>
      </c>
      <c r="F174" s="14">
        <v>2</v>
      </c>
      <c r="G174" s="152">
        <v>504.48</v>
      </c>
      <c r="H174" s="152">
        <f t="shared" si="16"/>
        <v>645.73</v>
      </c>
      <c r="I174" s="177">
        <f t="shared" si="17"/>
        <v>1291.46</v>
      </c>
      <c r="J174" s="102"/>
      <c r="K174" s="6"/>
    </row>
    <row r="175" spans="1:11" ht="15">
      <c r="A175" s="81">
        <v>14.4</v>
      </c>
      <c r="B175" s="11" t="s">
        <v>179</v>
      </c>
      <c r="C175" s="12" t="s">
        <v>22</v>
      </c>
      <c r="D175" s="20" t="s">
        <v>177</v>
      </c>
      <c r="E175" s="13" t="s">
        <v>45</v>
      </c>
      <c r="F175" s="14">
        <v>14</v>
      </c>
      <c r="G175" s="152">
        <v>114.56</v>
      </c>
      <c r="H175" s="152">
        <f t="shared" si="16"/>
        <v>146.63</v>
      </c>
      <c r="I175" s="177">
        <f t="shared" si="17"/>
        <v>2052.82</v>
      </c>
      <c r="J175" s="102"/>
      <c r="K175" s="6"/>
    </row>
    <row r="176" spans="1:11" ht="15">
      <c r="A176" s="81">
        <v>14.5</v>
      </c>
      <c r="B176" s="11">
        <v>85178</v>
      </c>
      <c r="C176" s="12" t="s">
        <v>22</v>
      </c>
      <c r="D176" s="20" t="s">
        <v>182</v>
      </c>
      <c r="E176" s="13" t="s">
        <v>45</v>
      </c>
      <c r="F176" s="14">
        <v>400</v>
      </c>
      <c r="G176" s="152">
        <v>41.44</v>
      </c>
      <c r="H176" s="152">
        <f t="shared" si="16"/>
        <v>53.04</v>
      </c>
      <c r="I176" s="177">
        <f t="shared" si="17"/>
        <v>21216</v>
      </c>
      <c r="J176" s="102"/>
      <c r="K176" s="6"/>
    </row>
    <row r="177" spans="1:11" ht="15">
      <c r="A177" s="81">
        <v>14.6</v>
      </c>
      <c r="B177" s="11">
        <v>7253</v>
      </c>
      <c r="C177" s="12" t="s">
        <v>22</v>
      </c>
      <c r="D177" s="20" t="s">
        <v>181</v>
      </c>
      <c r="E177" s="13" t="s">
        <v>43</v>
      </c>
      <c r="F177" s="14">
        <v>28</v>
      </c>
      <c r="G177" s="152">
        <v>127.68</v>
      </c>
      <c r="H177" s="152">
        <f t="shared" si="16"/>
        <v>163.43</v>
      </c>
      <c r="I177" s="177">
        <f t="shared" si="17"/>
        <v>4576.04</v>
      </c>
      <c r="J177" s="102"/>
      <c r="K177" s="6"/>
    </row>
    <row r="178" spans="1:11" ht="15">
      <c r="A178" s="81">
        <v>14.7</v>
      </c>
      <c r="B178" s="11" t="s">
        <v>180</v>
      </c>
      <c r="C178" s="12" t="s">
        <v>22</v>
      </c>
      <c r="D178" s="20" t="s">
        <v>178</v>
      </c>
      <c r="E178" s="13" t="s">
        <v>37</v>
      </c>
      <c r="F178" s="14">
        <v>280.91</v>
      </c>
      <c r="G178" s="152">
        <v>9.64</v>
      </c>
      <c r="H178" s="152">
        <f t="shared" si="16"/>
        <v>12.33</v>
      </c>
      <c r="I178" s="177">
        <f t="shared" si="17"/>
        <v>3463.62</v>
      </c>
      <c r="J178" s="102"/>
      <c r="K178" s="6"/>
    </row>
    <row r="179" spans="1:11" ht="15">
      <c r="A179" s="81">
        <v>14.8</v>
      </c>
      <c r="B179" s="11">
        <v>72554</v>
      </c>
      <c r="C179" s="12" t="s">
        <v>22</v>
      </c>
      <c r="D179" s="20" t="s">
        <v>235</v>
      </c>
      <c r="E179" s="13" t="s">
        <v>45</v>
      </c>
      <c r="F179" s="14">
        <v>2</v>
      </c>
      <c r="G179" s="152">
        <v>458.02</v>
      </c>
      <c r="H179" s="152">
        <f t="shared" si="16"/>
        <v>586.26</v>
      </c>
      <c r="I179" s="177">
        <f t="shared" si="17"/>
        <v>1172.52</v>
      </c>
      <c r="J179" s="102"/>
      <c r="K179" s="6"/>
    </row>
    <row r="180" spans="1:11" ht="15">
      <c r="A180" s="81">
        <v>14.9</v>
      </c>
      <c r="B180" s="11" t="s">
        <v>236</v>
      </c>
      <c r="C180" s="12" t="s">
        <v>22</v>
      </c>
      <c r="D180" s="20" t="s">
        <v>237</v>
      </c>
      <c r="E180" s="13" t="s">
        <v>45</v>
      </c>
      <c r="F180" s="14">
        <v>2</v>
      </c>
      <c r="G180" s="152">
        <v>144.02</v>
      </c>
      <c r="H180" s="152">
        <f t="shared" si="16"/>
        <v>184.34</v>
      </c>
      <c r="I180" s="177">
        <f t="shared" si="17"/>
        <v>368.68</v>
      </c>
      <c r="J180" s="102"/>
      <c r="K180" s="6"/>
    </row>
    <row r="181" spans="1:11" ht="28.5">
      <c r="A181" s="86">
        <v>14.1</v>
      </c>
      <c r="B181" s="11" t="s">
        <v>250</v>
      </c>
      <c r="C181" s="12" t="s">
        <v>22</v>
      </c>
      <c r="D181" s="20" t="s">
        <v>251</v>
      </c>
      <c r="E181" s="13" t="s">
        <v>16</v>
      </c>
      <c r="F181" s="14">
        <v>42</v>
      </c>
      <c r="G181" s="152">
        <v>43.99</v>
      </c>
      <c r="H181" s="152">
        <f t="shared" si="16"/>
        <v>56.3</v>
      </c>
      <c r="I181" s="177">
        <f t="shared" si="17"/>
        <v>2364.6</v>
      </c>
      <c r="J181" s="102"/>
      <c r="K181" s="6"/>
    </row>
    <row r="182" spans="1:11" ht="28.5">
      <c r="A182" s="86">
        <v>14.11</v>
      </c>
      <c r="B182" s="11" t="s">
        <v>242</v>
      </c>
      <c r="C182" s="12" t="s">
        <v>241</v>
      </c>
      <c r="D182" s="20" t="s">
        <v>243</v>
      </c>
      <c r="E182" s="13" t="s">
        <v>37</v>
      </c>
      <c r="F182" s="14">
        <v>1.85</v>
      </c>
      <c r="G182" s="152">
        <v>209.99</v>
      </c>
      <c r="H182" s="152">
        <f t="shared" si="16"/>
        <v>268.78</v>
      </c>
      <c r="I182" s="177">
        <f t="shared" si="17"/>
        <v>497.24</v>
      </c>
      <c r="J182" s="102"/>
      <c r="K182" s="6"/>
    </row>
    <row r="183" spans="1:11" ht="15">
      <c r="A183" s="231" t="s">
        <v>7</v>
      </c>
      <c r="B183" s="232"/>
      <c r="C183" s="232"/>
      <c r="D183" s="232"/>
      <c r="E183" s="232"/>
      <c r="F183" s="232"/>
      <c r="G183" s="232"/>
      <c r="H183" s="172"/>
      <c r="I183" s="178">
        <f>SUM(I172:I182)</f>
        <v>39423.57</v>
      </c>
      <c r="J183" s="101">
        <f>I183/$I$185</f>
        <v>0.07205528585450975</v>
      </c>
      <c r="K183" s="6"/>
    </row>
    <row r="184" spans="1:11" ht="15">
      <c r="A184" s="261"/>
      <c r="B184" s="262"/>
      <c r="C184" s="262"/>
      <c r="D184" s="262"/>
      <c r="E184" s="262"/>
      <c r="F184" s="262"/>
      <c r="G184" s="262"/>
      <c r="H184" s="262"/>
      <c r="I184" s="263"/>
      <c r="J184" s="102"/>
      <c r="K184" s="10"/>
    </row>
    <row r="185" spans="1:11" ht="15.75" thickBot="1">
      <c r="A185" s="256" t="s">
        <v>12</v>
      </c>
      <c r="B185" s="257"/>
      <c r="C185" s="257"/>
      <c r="D185" s="257"/>
      <c r="E185" s="257"/>
      <c r="F185" s="257"/>
      <c r="G185" s="257"/>
      <c r="H185" s="173"/>
      <c r="I185" s="188">
        <f>SUM(I13:I184)/2</f>
        <v>547129.4650000002</v>
      </c>
      <c r="J185" s="102"/>
      <c r="K185" s="10"/>
    </row>
    <row r="186" spans="4:11" ht="15">
      <c r="D186" s="24"/>
      <c r="J186" s="102"/>
      <c r="K186" s="10"/>
    </row>
    <row r="187" spans="5:11" ht="15">
      <c r="E187" s="105"/>
      <c r="F187" s="147"/>
      <c r="G187" s="165"/>
      <c r="H187" s="174"/>
      <c r="I187" s="165"/>
      <c r="J187" s="102"/>
      <c r="K187" s="10"/>
    </row>
    <row r="188" spans="5:11" ht="15">
      <c r="E188" s="105"/>
      <c r="F188" s="147"/>
      <c r="G188" s="165"/>
      <c r="H188" s="174"/>
      <c r="I188" s="165"/>
      <c r="J188" s="102"/>
      <c r="K188" s="10"/>
    </row>
    <row r="189" spans="8:9" ht="15">
      <c r="H189" s="164" t="s">
        <v>189</v>
      </c>
      <c r="I189" s="164">
        <v>405.56</v>
      </c>
    </row>
    <row r="190" spans="4:11" ht="15">
      <c r="D190" s="27"/>
      <c r="H190" s="164" t="s">
        <v>190</v>
      </c>
      <c r="I190" s="164">
        <f>I185</f>
        <v>547129.4650000002</v>
      </c>
      <c r="K190" s="10"/>
    </row>
    <row r="192" spans="8:9" ht="15">
      <c r="H192" s="175" t="s">
        <v>188</v>
      </c>
      <c r="I192" s="175">
        <f>I190/I189</f>
        <v>1349.0715677088476</v>
      </c>
    </row>
  </sheetData>
  <sheetProtection/>
  <mergeCells count="28">
    <mergeCell ref="A185:G185"/>
    <mergeCell ref="A85:G85"/>
    <mergeCell ref="A64:G64"/>
    <mergeCell ref="A139:I139"/>
    <mergeCell ref="A108:G108"/>
    <mergeCell ref="A169:G169"/>
    <mergeCell ref="A86:I86"/>
    <mergeCell ref="A184:I184"/>
    <mergeCell ref="A183:G183"/>
    <mergeCell ref="A170:I170"/>
    <mergeCell ref="A1:I1"/>
    <mergeCell ref="A5:I5"/>
    <mergeCell ref="A6:I6"/>
    <mergeCell ref="A7:I7"/>
    <mergeCell ref="A8:H8"/>
    <mergeCell ref="A9:I9"/>
    <mergeCell ref="A2:I2"/>
    <mergeCell ref="A3:I3"/>
    <mergeCell ref="A4:I4"/>
    <mergeCell ref="A123:G123"/>
    <mergeCell ref="A138:G138"/>
    <mergeCell ref="A11:I11"/>
    <mergeCell ref="A19:G19"/>
    <mergeCell ref="A32:G32"/>
    <mergeCell ref="A40:G40"/>
    <mergeCell ref="A78:G78"/>
    <mergeCell ref="A57:G57"/>
    <mergeCell ref="A50:G50"/>
  </mergeCells>
  <printOptions/>
  <pageMargins left="0.393700787401575" right="0.118110236220472" top="0.236220472440945" bottom="0.196850393700787" header="0" footer="0"/>
  <pageSetup fitToHeight="0" fitToWidth="1" horizontalDpi="600" verticalDpi="600" orientation="landscape" paperSize="9" scale="76" r:id="rId2"/>
  <headerFooter scaleWithDoc="0" alignWithMargins="0">
    <oddFooter>&amp;CPágina &amp;P de &amp;N</oddFooter>
  </headerFooter>
  <rowBreaks count="3" manualBreakCount="3">
    <brk id="46" max="8" man="1"/>
    <brk id="92" max="8" man="1"/>
    <brk id="140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view="pageBreakPreview" zoomScale="80" zoomScaleSheetLayoutView="80" zoomScalePageLayoutView="0" workbookViewId="0" topLeftCell="A7">
      <selection activeCell="P9" sqref="P9"/>
    </sheetView>
  </sheetViews>
  <sheetFormatPr defaultColWidth="9.140625" defaultRowHeight="12.75"/>
  <cols>
    <col min="1" max="1" width="30.8515625" style="0" customWidth="1"/>
    <col min="2" max="2" width="12.7109375" style="0" customWidth="1"/>
    <col min="3" max="3" width="11.140625" style="0" customWidth="1"/>
    <col min="4" max="4" width="12.7109375" style="0" customWidth="1"/>
    <col min="6" max="8" width="14.7109375" style="0" customWidth="1"/>
    <col min="9" max="9" width="10.140625" style="0" customWidth="1"/>
    <col min="10" max="10" width="14.7109375" style="0" customWidth="1"/>
    <col min="11" max="11" width="10.140625" style="0" customWidth="1"/>
    <col min="12" max="12" width="15.57421875" style="0" customWidth="1"/>
    <col min="13" max="13" width="11.00390625" style="0" customWidth="1"/>
  </cols>
  <sheetData>
    <row r="1" spans="1:13" ht="20.25">
      <c r="A1" s="271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106"/>
    </row>
    <row r="2" spans="1:13" ht="18">
      <c r="A2" s="271"/>
      <c r="B2" s="272" t="s">
        <v>255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107"/>
    </row>
    <row r="3" spans="1:13" ht="12.75">
      <c r="A3" s="271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108"/>
    </row>
    <row r="4" spans="1:13" ht="12.75">
      <c r="A4" s="271"/>
      <c r="M4" s="109"/>
    </row>
    <row r="5" spans="1:13" ht="12.75">
      <c r="A5" s="271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109"/>
    </row>
    <row r="6" spans="1:13" ht="15.75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1:13" ht="15.75">
      <c r="A7" s="113" t="str">
        <f>Orçamento!$A$5</f>
        <v>OBRA: CONSTRUÇÃO DA CASA DE CULTURA E MEMÓRIA EM PARANAITA - MT</v>
      </c>
      <c r="B7" s="114"/>
      <c r="C7" s="115"/>
      <c r="D7" s="116"/>
      <c r="E7" s="117"/>
      <c r="F7" s="117"/>
      <c r="G7" s="117"/>
      <c r="H7" s="117"/>
      <c r="I7" s="118"/>
      <c r="J7" s="118"/>
      <c r="K7" s="118"/>
      <c r="L7" s="118"/>
      <c r="M7" s="119"/>
    </row>
    <row r="8" spans="1:13" ht="15.75">
      <c r="A8" s="113" t="s">
        <v>198</v>
      </c>
      <c r="B8" s="113"/>
      <c r="C8" s="113"/>
      <c r="D8" s="113"/>
      <c r="E8" s="119"/>
      <c r="F8" s="119"/>
      <c r="G8" s="119"/>
      <c r="H8" s="119"/>
      <c r="I8" s="119"/>
      <c r="J8" s="119"/>
      <c r="K8" s="119"/>
      <c r="L8" s="119"/>
      <c r="M8" s="119"/>
    </row>
    <row r="9" spans="1:13" ht="16.5" thickBot="1">
      <c r="A9" s="113" t="s">
        <v>199</v>
      </c>
      <c r="B9" s="113"/>
      <c r="C9" s="113"/>
      <c r="D9" s="113"/>
      <c r="E9" s="119"/>
      <c r="F9" s="119"/>
      <c r="G9" s="119"/>
      <c r="H9" s="119"/>
      <c r="I9" s="119"/>
      <c r="J9" s="119"/>
      <c r="K9" s="119"/>
      <c r="L9" s="119"/>
      <c r="M9" s="119"/>
    </row>
    <row r="10" spans="1:13" ht="16.5" thickBot="1">
      <c r="A10" s="264" t="s">
        <v>133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6"/>
    </row>
    <row r="11" spans="1:13" ht="16.5" thickBot="1">
      <c r="A11" s="120" t="s">
        <v>134</v>
      </c>
      <c r="B11" s="143" t="s">
        <v>135</v>
      </c>
      <c r="C11" s="144" t="s">
        <v>136</v>
      </c>
      <c r="D11" s="143" t="s">
        <v>137</v>
      </c>
      <c r="E11" s="144" t="s">
        <v>136</v>
      </c>
      <c r="F11" s="143" t="s">
        <v>138</v>
      </c>
      <c r="G11" s="144" t="s">
        <v>136</v>
      </c>
      <c r="H11" s="143" t="s">
        <v>201</v>
      </c>
      <c r="I11" s="144" t="s">
        <v>136</v>
      </c>
      <c r="J11" s="190" t="s">
        <v>200</v>
      </c>
      <c r="K11" s="190" t="s">
        <v>136</v>
      </c>
      <c r="L11" s="121" t="s">
        <v>12</v>
      </c>
      <c r="M11" s="122" t="s">
        <v>136</v>
      </c>
    </row>
    <row r="12" spans="1:13" ht="16.5" thickBot="1">
      <c r="A12" s="267" t="s">
        <v>238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</row>
    <row r="13" spans="1:13" ht="17.25" customHeight="1">
      <c r="A13" s="130" t="str">
        <f>Orçamento!D12</f>
        <v>SERVIÇOS PRELIMINARES</v>
      </c>
      <c r="B13" s="132">
        <f>C13*L13</f>
        <v>21240.989999999998</v>
      </c>
      <c r="C13" s="215">
        <v>1</v>
      </c>
      <c r="D13" s="136">
        <f>L13*E13/100</f>
        <v>0</v>
      </c>
      <c r="E13" s="215"/>
      <c r="F13" s="132">
        <f>L13*G13/100</f>
        <v>0</v>
      </c>
      <c r="G13" s="215"/>
      <c r="H13" s="132">
        <f>L13*I13/100</f>
        <v>0</v>
      </c>
      <c r="I13" s="215"/>
      <c r="J13" s="132"/>
      <c r="K13" s="213"/>
      <c r="L13" s="141">
        <f>Orçamento!I19</f>
        <v>21240.989999999998</v>
      </c>
      <c r="M13" s="219">
        <v>0.0441</v>
      </c>
    </row>
    <row r="14" spans="1:13" ht="14.25" customHeight="1">
      <c r="A14" s="131" t="str">
        <f>Orçamento!D21</f>
        <v>FUNDAÇÃO</v>
      </c>
      <c r="B14" s="191">
        <f>C14*L14</f>
        <v>50274.340000000004</v>
      </c>
      <c r="C14" s="216">
        <v>1</v>
      </c>
      <c r="D14" s="133">
        <f>L14*E14/100</f>
        <v>0</v>
      </c>
      <c r="E14" s="216"/>
      <c r="F14" s="138">
        <f>L14*G14/100</f>
        <v>0</v>
      </c>
      <c r="G14" s="216"/>
      <c r="H14" s="138">
        <f>L14*I14/100</f>
        <v>0</v>
      </c>
      <c r="I14" s="216"/>
      <c r="J14" s="191"/>
      <c r="K14" s="212"/>
      <c r="L14" s="142">
        <f>Orçamento!I32</f>
        <v>50274.340000000004</v>
      </c>
      <c r="M14" s="220">
        <v>0.1044</v>
      </c>
    </row>
    <row r="15" spans="1:13" ht="16.5" customHeight="1">
      <c r="A15" s="131" t="str">
        <f>Orçamento!D34</f>
        <v>ESTRUTURA</v>
      </c>
      <c r="B15" s="133">
        <f>L15*C15/100</f>
        <v>0</v>
      </c>
      <c r="C15" s="216"/>
      <c r="D15" s="133">
        <f>E15*L15</f>
        <v>21952.96</v>
      </c>
      <c r="E15" s="216">
        <v>0.5</v>
      </c>
      <c r="F15" s="138">
        <f>G15*L15</f>
        <v>21952.96</v>
      </c>
      <c r="G15" s="216">
        <v>0.5</v>
      </c>
      <c r="H15" s="138">
        <f>L15*I15/100</f>
        <v>0</v>
      </c>
      <c r="I15" s="216"/>
      <c r="J15" s="191"/>
      <c r="K15" s="212"/>
      <c r="L15" s="142">
        <f>Orçamento!I40</f>
        <v>43905.92</v>
      </c>
      <c r="M15" s="220">
        <v>0.0911</v>
      </c>
    </row>
    <row r="16" spans="1:13" ht="15" customHeight="1">
      <c r="A16" s="131" t="str">
        <f>Orçamento!D42</f>
        <v>PAVIMENTAÇÃO</v>
      </c>
      <c r="B16" s="191">
        <f>C16*L16</f>
        <v>4758.933</v>
      </c>
      <c r="C16" s="216">
        <v>0.1</v>
      </c>
      <c r="D16" s="133">
        <f>L16*E16/100</f>
        <v>0</v>
      </c>
      <c r="E16" s="216"/>
      <c r="F16" s="138">
        <f>L16*G16/100</f>
        <v>0</v>
      </c>
      <c r="G16" s="216"/>
      <c r="H16" s="138">
        <f>I16*L16</f>
        <v>42830.397000000004</v>
      </c>
      <c r="I16" s="216">
        <v>0.9</v>
      </c>
      <c r="J16" s="191"/>
      <c r="K16" s="212"/>
      <c r="L16" s="142">
        <f>Orçamento!I50</f>
        <v>47589.33</v>
      </c>
      <c r="M16" s="220">
        <v>0.0988</v>
      </c>
    </row>
    <row r="17" spans="1:13" ht="15" customHeight="1">
      <c r="A17" s="131" t="str">
        <f>Orçamento!D52</f>
        <v>PAREDES E DIVISÓRIAS</v>
      </c>
      <c r="B17" s="191">
        <f>C17*L17</f>
        <v>17063.8</v>
      </c>
      <c r="C17" s="216">
        <v>0.5</v>
      </c>
      <c r="D17" s="133">
        <f>E17*L17</f>
        <v>17063.8</v>
      </c>
      <c r="E17" s="216">
        <v>0.5</v>
      </c>
      <c r="F17" s="138">
        <f>L17*G17/100</f>
        <v>0</v>
      </c>
      <c r="G17" s="216"/>
      <c r="H17" s="138">
        <f>L17*I17/100</f>
        <v>0</v>
      </c>
      <c r="I17" s="216"/>
      <c r="J17" s="191"/>
      <c r="K17" s="212"/>
      <c r="L17" s="142">
        <f>Orçamento!I57</f>
        <v>34127.6</v>
      </c>
      <c r="M17" s="220">
        <v>0.0708</v>
      </c>
    </row>
    <row r="18" spans="1:13" ht="12" customHeight="1">
      <c r="A18" s="131" t="str">
        <f>Orçamento!D59</f>
        <v>REVESTIMENTOS </v>
      </c>
      <c r="B18" s="133">
        <f aca="true" t="shared" si="0" ref="B18:B24">L18*C18/100</f>
        <v>0</v>
      </c>
      <c r="C18" s="216"/>
      <c r="D18" s="133">
        <f>L18*E18/100</f>
        <v>0</v>
      </c>
      <c r="E18" s="216"/>
      <c r="F18" s="138">
        <f>L18*G18/100</f>
        <v>0</v>
      </c>
      <c r="G18" s="216"/>
      <c r="H18" s="138">
        <f>I18*L18</f>
        <v>22199.68</v>
      </c>
      <c r="I18" s="216">
        <v>1</v>
      </c>
      <c r="J18" s="191"/>
      <c r="K18" s="212"/>
      <c r="L18" s="142">
        <f>Orçamento!I64</f>
        <v>22199.68</v>
      </c>
      <c r="M18" s="220">
        <v>0.0246</v>
      </c>
    </row>
    <row r="19" spans="1:13" ht="12.75">
      <c r="A19" s="131" t="str">
        <f>Orçamento!D66</f>
        <v>ESQUADRIAS</v>
      </c>
      <c r="B19" s="133">
        <f t="shared" si="0"/>
        <v>0</v>
      </c>
      <c r="C19" s="216"/>
      <c r="D19" s="133">
        <f>L19*E19/100</f>
        <v>0</v>
      </c>
      <c r="E19" s="216"/>
      <c r="F19" s="138">
        <f>G19*L19</f>
        <v>62243.825000000004</v>
      </c>
      <c r="G19" s="216">
        <v>0.5</v>
      </c>
      <c r="H19" s="138">
        <f>I19*L19</f>
        <v>62243.825000000004</v>
      </c>
      <c r="I19" s="216">
        <v>0.5</v>
      </c>
      <c r="J19" s="191"/>
      <c r="K19" s="212"/>
      <c r="L19" s="142">
        <f>Orçamento!I78</f>
        <v>124487.65000000001</v>
      </c>
      <c r="M19" s="220">
        <v>0.2005</v>
      </c>
    </row>
    <row r="20" spans="1:13" ht="14.25" customHeight="1">
      <c r="A20" s="131" t="str">
        <f>Orçamento!D80</f>
        <v>COBERTURA</v>
      </c>
      <c r="B20" s="133">
        <f t="shared" si="0"/>
        <v>0</v>
      </c>
      <c r="C20" s="216"/>
      <c r="D20" s="133">
        <f>E20*L20</f>
        <v>51695.508</v>
      </c>
      <c r="E20" s="216">
        <v>0.6</v>
      </c>
      <c r="F20" s="138">
        <f>G20*L20</f>
        <v>34463.672000000006</v>
      </c>
      <c r="G20" s="216">
        <v>0.4</v>
      </c>
      <c r="H20" s="138">
        <f>I20*L20</f>
        <v>0</v>
      </c>
      <c r="I20" s="216"/>
      <c r="J20" s="191"/>
      <c r="K20" s="212"/>
      <c r="L20" s="142">
        <f>Orçamento!I85</f>
        <v>86159.18000000001</v>
      </c>
      <c r="M20" s="220">
        <v>0.1788</v>
      </c>
    </row>
    <row r="21" spans="1:13" ht="14.25" customHeight="1">
      <c r="A21" s="131" t="str">
        <f>Orçamento!D87</f>
        <v>INSTALAÇÕES ELÉTRICAS</v>
      </c>
      <c r="B21" s="133">
        <f t="shared" si="0"/>
        <v>0</v>
      </c>
      <c r="C21" s="216"/>
      <c r="D21" s="133">
        <f>L21*E21/100</f>
        <v>0</v>
      </c>
      <c r="E21" s="216"/>
      <c r="F21" s="138">
        <f>G21*L21</f>
        <v>3806.008</v>
      </c>
      <c r="G21" s="216">
        <v>0.2</v>
      </c>
      <c r="H21" s="138">
        <f>I21*L21</f>
        <v>11418.023999999998</v>
      </c>
      <c r="I21" s="216">
        <v>0.6</v>
      </c>
      <c r="J21" s="133">
        <f>K21*L21</f>
        <v>3806.008</v>
      </c>
      <c r="K21" s="212">
        <v>0.2</v>
      </c>
      <c r="L21" s="142">
        <f>Orçamento!I108</f>
        <v>19030.039999999997</v>
      </c>
      <c r="M21" s="220">
        <v>0.0395</v>
      </c>
    </row>
    <row r="22" spans="1:13" ht="15" customHeight="1">
      <c r="A22" s="131" t="str">
        <f>Orçamento!D110</f>
        <v>SPDA</v>
      </c>
      <c r="B22" s="133">
        <f t="shared" si="0"/>
        <v>0</v>
      </c>
      <c r="C22" s="216"/>
      <c r="D22" s="133">
        <f>L22*E22/100</f>
        <v>0</v>
      </c>
      <c r="E22" s="216"/>
      <c r="F22" s="138">
        <f>L22*G22/100</f>
        <v>0</v>
      </c>
      <c r="G22" s="216"/>
      <c r="H22" s="138">
        <f>I22*L22</f>
        <v>7245.091999999999</v>
      </c>
      <c r="I22" s="216">
        <v>0.4</v>
      </c>
      <c r="J22" s="133">
        <f>K22*L22</f>
        <v>10867.637999999997</v>
      </c>
      <c r="K22" s="212">
        <v>0.6</v>
      </c>
      <c r="L22" s="142">
        <f>Orçamento!I123</f>
        <v>18112.729999999996</v>
      </c>
      <c r="M22" s="220">
        <v>0.0376</v>
      </c>
    </row>
    <row r="23" spans="1:13" ht="12.75" customHeight="1">
      <c r="A23" s="131" t="str">
        <f>Orçamento!D125</f>
        <v>CABEAMENTO ESTRUTURADO E TELEFONIA</v>
      </c>
      <c r="B23" s="133">
        <f t="shared" si="0"/>
        <v>0</v>
      </c>
      <c r="C23" s="216"/>
      <c r="D23" s="133">
        <f>L23*E23/100</f>
        <v>0</v>
      </c>
      <c r="E23" s="216"/>
      <c r="F23" s="138">
        <f>L23*G23/100</f>
        <v>0</v>
      </c>
      <c r="G23" s="216"/>
      <c r="H23" s="138"/>
      <c r="I23" s="216"/>
      <c r="J23" s="133">
        <f>K23*L23</f>
        <v>4286.69</v>
      </c>
      <c r="K23" s="212">
        <v>1</v>
      </c>
      <c r="L23" s="142">
        <f>Orçamento!I138</f>
        <v>4286.69</v>
      </c>
      <c r="M23" s="220">
        <v>0.0089</v>
      </c>
    </row>
    <row r="24" spans="1:13" ht="12.75" customHeight="1">
      <c r="A24" s="131" t="str">
        <f>Orçamento!D140</f>
        <v>INSTALAÇÕES HIDROSSANITARIAS</v>
      </c>
      <c r="B24" s="133">
        <f t="shared" si="0"/>
        <v>0</v>
      </c>
      <c r="C24" s="216"/>
      <c r="D24" s="133">
        <f>L24*E24/100</f>
        <v>0</v>
      </c>
      <c r="E24" s="216"/>
      <c r="F24" s="138">
        <f>L24*G24/100</f>
        <v>0</v>
      </c>
      <c r="G24" s="216"/>
      <c r="H24" s="138">
        <f>I24*L24</f>
        <v>4061.1180000000004</v>
      </c>
      <c r="I24" s="216">
        <v>0.3</v>
      </c>
      <c r="J24" s="133">
        <f>K24*L24</f>
        <v>9475.942000000001</v>
      </c>
      <c r="K24" s="212">
        <v>0.7</v>
      </c>
      <c r="L24" s="142">
        <f>Orçamento!I169</f>
        <v>13537.060000000001</v>
      </c>
      <c r="M24" s="220">
        <v>0.025</v>
      </c>
    </row>
    <row r="25" spans="1:13" ht="12.75">
      <c r="A25" s="131" t="str">
        <f>Orçamento!D171</f>
        <v>SERVIÇOS COMPLEMENTARES</v>
      </c>
      <c r="B25" s="133"/>
      <c r="C25" s="216"/>
      <c r="D25" s="133"/>
      <c r="E25" s="216"/>
      <c r="F25" s="133"/>
      <c r="G25" s="216"/>
      <c r="H25" s="133"/>
      <c r="I25" s="216"/>
      <c r="J25" s="133">
        <f>K25*L25</f>
        <v>39423.57</v>
      </c>
      <c r="K25" s="212">
        <v>1</v>
      </c>
      <c r="L25" s="142">
        <f>Orçamento!I183</f>
        <v>39423.57</v>
      </c>
      <c r="M25" s="220">
        <v>0.0759</v>
      </c>
    </row>
    <row r="26" spans="1:13" ht="12.75">
      <c r="A26" s="131"/>
      <c r="B26" s="133"/>
      <c r="C26" s="216"/>
      <c r="D26" s="133"/>
      <c r="E26" s="216"/>
      <c r="F26" s="133"/>
      <c r="G26" s="216"/>
      <c r="H26" s="133"/>
      <c r="I26" s="216"/>
      <c r="J26" s="191"/>
      <c r="K26" s="212"/>
      <c r="L26" s="142"/>
      <c r="M26" s="123"/>
    </row>
    <row r="27" spans="1:13" ht="12.75">
      <c r="A27" s="131"/>
      <c r="B27" s="133"/>
      <c r="C27" s="123"/>
      <c r="D27" s="133"/>
      <c r="E27" s="216"/>
      <c r="F27" s="133"/>
      <c r="G27" s="216"/>
      <c r="H27" s="133"/>
      <c r="I27" s="216"/>
      <c r="J27" s="191"/>
      <c r="K27" s="212"/>
      <c r="L27" s="142"/>
      <c r="M27" s="123"/>
    </row>
    <row r="28" spans="1:13" ht="12.75">
      <c r="A28" s="131"/>
      <c r="B28" s="133"/>
      <c r="C28" s="123"/>
      <c r="D28" s="133"/>
      <c r="E28" s="123"/>
      <c r="F28" s="133"/>
      <c r="G28" s="139"/>
      <c r="H28" s="133"/>
      <c r="I28" s="216"/>
      <c r="J28" s="191"/>
      <c r="K28" s="212"/>
      <c r="L28" s="142"/>
      <c r="M28" s="123"/>
    </row>
    <row r="29" spans="1:13" ht="12.75">
      <c r="A29" s="131"/>
      <c r="B29" s="133"/>
      <c r="C29" s="123"/>
      <c r="D29" s="133"/>
      <c r="E29" s="123"/>
      <c r="F29" s="133"/>
      <c r="G29" s="139"/>
      <c r="H29" s="133"/>
      <c r="I29" s="216"/>
      <c r="J29" s="191"/>
      <c r="K29" s="212"/>
      <c r="L29" s="142"/>
      <c r="M29" s="123"/>
    </row>
    <row r="30" spans="1:13" ht="13.5" thickBot="1">
      <c r="A30" s="131"/>
      <c r="B30" s="134"/>
      <c r="C30" s="135"/>
      <c r="D30" s="137"/>
      <c r="E30" s="135"/>
      <c r="F30" s="137"/>
      <c r="G30" s="140"/>
      <c r="H30" s="137"/>
      <c r="I30" s="135"/>
      <c r="J30" s="134"/>
      <c r="K30" s="214"/>
      <c r="L30" s="142"/>
      <c r="M30" s="123"/>
    </row>
    <row r="31" spans="1:13" ht="12.75">
      <c r="A31" s="124" t="s">
        <v>139</v>
      </c>
      <c r="B31" s="125">
        <f>SUM(B13:B30)</f>
        <v>93338.06300000001</v>
      </c>
      <c r="C31" s="217">
        <v>0.1937</v>
      </c>
      <c r="D31" s="125">
        <f>SUM(D13:D30)</f>
        <v>90712.268</v>
      </c>
      <c r="E31" s="217">
        <v>0.1883</v>
      </c>
      <c r="F31" s="125">
        <f>SUM(F13:F30)</f>
        <v>122466.46500000001</v>
      </c>
      <c r="G31" s="217">
        <v>0.2252</v>
      </c>
      <c r="H31" s="125">
        <f>SUM(H13:H30)</f>
        <v>149998.136</v>
      </c>
      <c r="I31" s="217">
        <v>0.26</v>
      </c>
      <c r="J31" s="125">
        <f>SUM(J13:J30)</f>
        <v>67859.848</v>
      </c>
      <c r="K31" s="217">
        <f>J31/L31</f>
        <v>0.12941096823916667</v>
      </c>
      <c r="L31" s="125">
        <f>SUM(L12:L30)</f>
        <v>524374.7799999999</v>
      </c>
      <c r="M31" s="221">
        <v>1</v>
      </c>
    </row>
    <row r="32" spans="1:13" ht="13.5" thickBot="1">
      <c r="A32" s="126" t="s">
        <v>140</v>
      </c>
      <c r="B32" s="127">
        <f>B31</f>
        <v>93338.06300000001</v>
      </c>
      <c r="C32" s="218">
        <v>0.1937</v>
      </c>
      <c r="D32" s="127">
        <f>B32+D31</f>
        <v>184050.331</v>
      </c>
      <c r="E32" s="218">
        <v>0.382</v>
      </c>
      <c r="F32" s="127">
        <f aca="true" t="shared" si="1" ref="F32:K32">D32+F31</f>
        <v>306516.79600000003</v>
      </c>
      <c r="G32" s="218">
        <f t="shared" si="1"/>
        <v>0.6072</v>
      </c>
      <c r="H32" s="127">
        <f t="shared" si="1"/>
        <v>456514.93200000003</v>
      </c>
      <c r="I32" s="218">
        <f t="shared" si="1"/>
        <v>0.8672</v>
      </c>
      <c r="J32" s="128">
        <f t="shared" si="1"/>
        <v>524374.78</v>
      </c>
      <c r="K32" s="218">
        <f t="shared" si="1"/>
        <v>0.9966109682391666</v>
      </c>
      <c r="L32" s="127">
        <f>L31</f>
        <v>524374.7799999999</v>
      </c>
      <c r="M32" s="129"/>
    </row>
  </sheetData>
  <sheetProtection/>
  <mergeCells count="7">
    <mergeCell ref="A10:M10"/>
    <mergeCell ref="A12:M12"/>
    <mergeCell ref="B1:L1"/>
    <mergeCell ref="A1:A5"/>
    <mergeCell ref="B2:L2"/>
    <mergeCell ref="B3:L3"/>
    <mergeCell ref="B5:L5"/>
  </mergeCells>
  <printOptions/>
  <pageMargins left="0.7" right="0.7" top="0.75" bottom="0.75" header="0.3" footer="0.3"/>
  <pageSetup horizontalDpi="600" verticalDpi="600" orientation="portrait" scale="50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Jairo</dc:creator>
  <cp:keywords/>
  <dc:description/>
  <cp:lastModifiedBy>USER</cp:lastModifiedBy>
  <cp:lastPrinted>2015-08-12T18:56:56Z</cp:lastPrinted>
  <dcterms:created xsi:type="dcterms:W3CDTF">2009-03-07T19:28:34Z</dcterms:created>
  <dcterms:modified xsi:type="dcterms:W3CDTF">2015-08-12T22:23:55Z</dcterms:modified>
  <cp:category/>
  <cp:version/>
  <cp:contentType/>
  <cp:contentStatus/>
</cp:coreProperties>
</file>